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drawings/drawing4.xml" ContentType="application/vnd.openxmlformats-officedocument.drawing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  CEJAMA - Ana\"/>
    </mc:Choice>
  </mc:AlternateContent>
  <xr:revisionPtr revIDLastSave="0" documentId="8_{2264D4B5-100F-4E87-A6C3-B26C58B9215F}" xr6:coauthVersionLast="47" xr6:coauthVersionMax="47" xr10:uidLastSave="{00000000-0000-0000-0000-000000000000}"/>
  <bookViews>
    <workbookView xWindow="-120" yWindow="-120" windowWidth="24240" windowHeight="13140" tabRatio="725" firstSheet="1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state="hidden" r:id="rId13"/>
    <sheet name="Conexão " sheetId="87" state="hidden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state="hidden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Faturas!$AB$1:$AE$345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4" r:id="rId49"/>
    <pivotCache cacheId="5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6" i="89" l="1"/>
  <c r="AN205" i="89"/>
  <c r="K184" i="49"/>
  <c r="K185" i="49"/>
  <c r="J184" i="49"/>
  <c r="J185" i="49"/>
  <c r="J186" i="49"/>
  <c r="I186" i="49"/>
  <c r="I185" i="49"/>
  <c r="I184" i="49"/>
  <c r="H186" i="49"/>
  <c r="H185" i="49"/>
  <c r="H184" i="49"/>
  <c r="G184" i="49"/>
  <c r="G185" i="49"/>
  <c r="G186" i="49"/>
  <c r="F184" i="49"/>
  <c r="F185" i="49"/>
  <c r="F186" i="49"/>
  <c r="AN195" i="89"/>
  <c r="AN188" i="89" l="1"/>
  <c r="H41" i="58" l="1"/>
  <c r="J41" i="58" s="1"/>
  <c r="K39" i="58" s="1"/>
  <c r="I90" i="58"/>
  <c r="H53" i="58" s="1"/>
  <c r="J53" i="58" s="1"/>
  <c r="K41" i="58" l="1"/>
  <c r="AU248" i="89" l="1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72" i="89" l="1"/>
  <c r="AU268" i="89"/>
  <c r="AU264" i="89"/>
  <c r="AU262" i="89"/>
  <c r="AU251" i="89"/>
  <c r="AU260" i="89"/>
  <c r="AU271" i="89"/>
  <c r="AU256" i="89"/>
  <c r="AU252" i="89"/>
  <c r="AU270" i="89"/>
  <c r="AU269" i="89"/>
  <c r="AU261" i="89"/>
  <c r="AU267" i="89"/>
  <c r="AU259" i="89"/>
  <c r="AU250" i="89"/>
  <c r="AU265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F182" i="49" s="1"/>
  <c r="I44" i="50"/>
  <c r="G182" i="49" s="1"/>
  <c r="J44" i="50"/>
  <c r="H182" i="49" s="1"/>
  <c r="K44" i="50"/>
  <c r="I182" i="49" s="1"/>
  <c r="L44" i="50"/>
  <c r="J182" i="49" s="1"/>
  <c r="M44" i="50"/>
  <c r="K182" i="49" s="1"/>
  <c r="H45" i="50"/>
  <c r="F183" i="49" s="1"/>
  <c r="I45" i="50"/>
  <c r="G183" i="49" s="1"/>
  <c r="J45" i="50"/>
  <c r="H183" i="49" s="1"/>
  <c r="K45" i="50"/>
  <c r="I183" i="49" s="1"/>
  <c r="L45" i="50"/>
  <c r="J183" i="49" s="1"/>
  <c r="M45" i="50"/>
  <c r="K183" i="49" s="1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68" i="64" l="1"/>
  <c r="AU266" i="89"/>
  <c r="C76" i="64"/>
  <c r="AU274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E53" i="58" s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5" i="78"/>
  <c r="C114" i="78"/>
  <c r="D117" i="78"/>
  <c r="C119" i="78"/>
  <c r="D114" i="78"/>
  <c r="C116" i="78"/>
  <c r="D115" i="78"/>
  <c r="D119" i="78"/>
  <c r="D116" i="78"/>
  <c r="C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13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20" i="78"/>
  <c r="G8" i="78"/>
  <c r="D12" i="78"/>
  <c r="C93" i="78"/>
  <c r="G10" i="78"/>
  <c r="G11" i="78"/>
  <c r="C94" i="78"/>
  <c r="D19" i="78"/>
  <c r="C17" i="78"/>
  <c r="C95" i="78"/>
  <c r="D10" i="78"/>
  <c r="C87" i="78"/>
  <c r="D9" i="78"/>
  <c r="C91" i="78"/>
  <c r="C89" i="78"/>
  <c r="C82" i="78"/>
  <c r="C83" i="78"/>
  <c r="D13" i="78"/>
  <c r="C13" i="78"/>
  <c r="G12" i="78"/>
  <c r="D21" i="78"/>
  <c r="C84" i="78"/>
  <c r="C92" i="78"/>
  <c r="C81" i="78"/>
  <c r="C11" i="78"/>
  <c r="C19" i="78"/>
  <c r="D14" i="78"/>
  <c r="C20" i="78"/>
  <c r="G13" i="78"/>
  <c r="G14" i="78"/>
  <c r="C90" i="78"/>
  <c r="C12" i="78"/>
  <c r="C16" i="78"/>
  <c r="C14" i="78"/>
  <c r="C97" i="78"/>
  <c r="D18" i="78"/>
  <c r="C18" i="78"/>
  <c r="D11" i="78"/>
  <c r="C15" i="78"/>
  <c r="C79" i="78"/>
  <c r="C80" i="78"/>
  <c r="D15" i="78"/>
  <c r="D16" i="78"/>
  <c r="G9" i="78"/>
  <c r="C88" i="78"/>
  <c r="D17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61" i="85"/>
  <c r="C6" i="85"/>
  <c r="C16" i="85"/>
  <c r="C36" i="85"/>
  <c r="C57" i="85"/>
  <c r="C104" i="85"/>
  <c r="C130" i="85"/>
  <c r="C103" i="85"/>
  <c r="C140" i="85"/>
  <c r="C152" i="85"/>
  <c r="C158" i="85"/>
  <c r="C125" i="85"/>
  <c r="C159" i="85"/>
  <c r="C44" i="85"/>
  <c r="C132" i="85"/>
  <c r="C138" i="85"/>
  <c r="C131" i="85"/>
  <c r="C98" i="85"/>
  <c r="C15" i="85"/>
  <c r="C147" i="85"/>
  <c r="C153" i="85"/>
  <c r="C95" i="85"/>
  <c r="C148" i="85"/>
  <c r="C137" i="85"/>
  <c r="C10" i="85"/>
  <c r="C17" i="85"/>
  <c r="C4" i="85"/>
  <c r="C71" i="85"/>
  <c r="C121" i="85"/>
  <c r="C90" i="85"/>
  <c r="C156" i="85"/>
  <c r="C14" i="85"/>
  <c r="C123" i="85"/>
  <c r="C145" i="85"/>
  <c r="C99" i="85"/>
  <c r="C133" i="85"/>
  <c r="C108" i="85"/>
  <c r="C73" i="85"/>
  <c r="C46" i="85"/>
  <c r="C97" i="85"/>
  <c r="C21" i="85"/>
  <c r="C60" i="85"/>
  <c r="C109" i="85"/>
  <c r="C105" i="85"/>
  <c r="C3" i="85"/>
  <c r="C114" i="85"/>
  <c r="C77" i="85"/>
  <c r="C101" i="85"/>
  <c r="C151" i="85"/>
  <c r="C160" i="85"/>
  <c r="C154" i="85"/>
  <c r="C117" i="85"/>
  <c r="C164" i="85"/>
  <c r="C139" i="85"/>
  <c r="C144" i="85"/>
  <c r="C45" i="85"/>
  <c r="C39" i="85"/>
  <c r="C112" i="85"/>
  <c r="C87" i="85"/>
  <c r="C18" i="85"/>
  <c r="C96" i="85"/>
  <c r="C8" i="85"/>
  <c r="C166" i="85"/>
  <c r="C25" i="85"/>
  <c r="C127" i="85"/>
  <c r="C155" i="85"/>
  <c r="C7" i="85"/>
  <c r="C107" i="85"/>
  <c r="C100" i="85"/>
  <c r="C20" i="85"/>
  <c r="C150" i="85"/>
  <c r="C162" i="85"/>
  <c r="C146" i="85"/>
  <c r="C115" i="85"/>
  <c r="C13" i="85"/>
  <c r="C11" i="85"/>
  <c r="C167" i="85"/>
  <c r="C12" i="85"/>
  <c r="C19" i="85"/>
  <c r="C26" i="85"/>
  <c r="C142" i="85"/>
  <c r="C129" i="85"/>
  <c r="C119" i="85"/>
  <c r="C9" i="85"/>
  <c r="C111" i="85"/>
  <c r="C149" i="85"/>
  <c r="C37" i="85"/>
  <c r="C165" i="85"/>
  <c r="C141" i="85"/>
  <c r="C102" i="85"/>
  <c r="C110" i="85"/>
  <c r="C163" i="85"/>
  <c r="C113" i="85"/>
  <c r="C106" i="85"/>
  <c r="C143" i="85"/>
  <c r="C32" i="85"/>
  <c r="C134" i="85"/>
  <c r="C38" i="85"/>
  <c r="C23" i="85"/>
  <c r="C5" i="85"/>
  <c r="C24" i="85"/>
  <c r="C157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5" i="85"/>
  <c r="C70" i="85"/>
  <c r="C136" i="85"/>
  <c r="C88" i="85"/>
  <c r="C82" i="85"/>
  <c r="C31" i="85"/>
  <c r="C22" i="85"/>
  <c r="F31" i="58" l="1"/>
  <c r="F30" i="58"/>
  <c r="F32" i="58"/>
  <c r="F29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I74" i="78"/>
  <c r="L74" i="78"/>
  <c r="T74" i="78"/>
  <c r="D74" i="78"/>
  <c r="G74" i="78"/>
  <c r="F74" i="78"/>
  <c r="U74" i="78"/>
  <c r="H74" i="78"/>
  <c r="E74" i="78"/>
  <c r="C30" i="85"/>
  <c r="J74" i="78"/>
  <c r="P74" i="78"/>
  <c r="M74" i="78"/>
  <c r="N74" i="78"/>
  <c r="K74" i="78"/>
  <c r="R74" i="78"/>
  <c r="O74" i="78"/>
  <c r="Q74" i="78"/>
  <c r="S74" i="78"/>
  <c r="C72" i="85"/>
  <c r="C77" i="39" l="1"/>
  <c r="C48" i="25" s="1"/>
  <c r="D48" i="25" s="1"/>
  <c r="H77" i="39"/>
  <c r="K30" i="39" a="1"/>
  <c r="K30" i="39" s="1"/>
  <c r="D39" i="64" s="1"/>
  <c r="BA238" i="89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K54" i="58" s="1"/>
  <c r="L54" i="58" s="1"/>
  <c r="E2" i="121"/>
  <c r="F2" i="121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H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U73" i="78"/>
  <c r="F73" i="78"/>
  <c r="T73" i="78"/>
  <c r="K73" i="78"/>
  <c r="Q73" i="78"/>
  <c r="O73" i="78"/>
  <c r="S73" i="78"/>
  <c r="N73" i="78"/>
  <c r="M73" i="78"/>
  <c r="D73" i="78"/>
  <c r="H73" i="78"/>
  <c r="P73" i="78"/>
  <c r="R73" i="78"/>
  <c r="J73" i="78"/>
  <c r="L73" i="78"/>
  <c r="G73" i="78"/>
  <c r="E73" i="78"/>
  <c r="I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L72" i="78"/>
  <c r="O72" i="78"/>
  <c r="G72" i="78"/>
  <c r="M72" i="78"/>
  <c r="N72" i="78"/>
  <c r="J72" i="78"/>
  <c r="S72" i="78"/>
  <c r="K72" i="78"/>
  <c r="P72" i="78"/>
  <c r="D72" i="78"/>
  <c r="I72" i="78"/>
  <c r="T72" i="78"/>
  <c r="R72" i="78"/>
  <c r="E72" i="78"/>
  <c r="F72" i="78"/>
  <c r="Q72" i="78"/>
  <c r="U72" i="78"/>
  <c r="H72" i="78"/>
  <c r="C75" i="39" l="1"/>
  <c r="C46" i="25" s="1"/>
  <c r="D46" i="25" s="1"/>
  <c r="H75" i="39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O71" i="78"/>
  <c r="E71" i="78"/>
  <c r="Q71" i="78"/>
  <c r="S71" i="78"/>
  <c r="R71" i="78"/>
  <c r="N71" i="78"/>
  <c r="J71" i="78"/>
  <c r="H71" i="78"/>
  <c r="F71" i="78"/>
  <c r="M71" i="78"/>
  <c r="D71" i="78"/>
  <c r="P71" i="78"/>
  <c r="C55" i="85"/>
  <c r="K71" i="78"/>
  <c r="T71" i="78"/>
  <c r="L71" i="78"/>
  <c r="U71" i="78"/>
  <c r="G71" i="78"/>
  <c r="I71" i="78"/>
  <c r="L17" i="58" l="1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K70" i="78"/>
  <c r="I70" i="78"/>
  <c r="G70" i="78"/>
  <c r="S70" i="78"/>
  <c r="N70" i="78"/>
  <c r="P70" i="78"/>
  <c r="L70" i="78"/>
  <c r="U70" i="78"/>
  <c r="R70" i="78"/>
  <c r="H70" i="78"/>
  <c r="T70" i="78"/>
  <c r="J70" i="78"/>
  <c r="M70" i="78"/>
  <c r="D70" i="78"/>
  <c r="O70" i="78"/>
  <c r="E70" i="78"/>
  <c r="Q70" i="78"/>
  <c r="F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Q69" i="78"/>
  <c r="G69" i="78"/>
  <c r="R69" i="78"/>
  <c r="K69" i="78"/>
  <c r="S69" i="78"/>
  <c r="U69" i="78"/>
  <c r="H69" i="78"/>
  <c r="T69" i="78"/>
  <c r="E69" i="78"/>
  <c r="N69" i="78"/>
  <c r="D69" i="78"/>
  <c r="P69" i="78"/>
  <c r="O69" i="78"/>
  <c r="L69" i="78"/>
  <c r="F69" i="78"/>
  <c r="I69" i="78"/>
  <c r="J69" i="78"/>
  <c r="M69" i="78"/>
  <c r="E71" i="50" l="1"/>
  <c r="E93" i="50"/>
  <c r="E94" i="50"/>
  <c r="E96" i="50"/>
  <c r="E97" i="50"/>
  <c r="E99" i="50"/>
  <c r="E92" i="50"/>
  <c r="E100" i="50"/>
  <c r="E95" i="50"/>
  <c r="E98" i="50"/>
  <c r="E49" i="50"/>
  <c r="E57" i="50"/>
  <c r="E65" i="50"/>
  <c r="E50" i="50"/>
  <c r="E64" i="50"/>
  <c r="E51" i="50"/>
  <c r="E63" i="50"/>
  <c r="E17" i="50"/>
  <c r="E41" i="50"/>
  <c r="E26" i="50"/>
  <c r="E42" i="50"/>
  <c r="E37" i="50"/>
  <c r="E40" i="50"/>
  <c r="E27" i="50"/>
  <c r="E35" i="50"/>
  <c r="E43" i="50"/>
  <c r="E28" i="50"/>
  <c r="E36" i="50"/>
  <c r="E44" i="50"/>
  <c r="E45" i="50"/>
  <c r="E48" i="50"/>
  <c r="E38" i="50"/>
  <c r="E46" i="50"/>
  <c r="E39" i="50"/>
  <c r="E47" i="50"/>
  <c r="E32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Q68" i="78"/>
  <c r="I68" i="78"/>
  <c r="H68" i="78"/>
  <c r="N68" i="78"/>
  <c r="D68" i="78"/>
  <c r="E68" i="78"/>
  <c r="S68" i="78"/>
  <c r="P68" i="78"/>
  <c r="J68" i="78"/>
  <c r="M68" i="78"/>
  <c r="F68" i="78"/>
  <c r="O68" i="78"/>
  <c r="K68" i="78"/>
  <c r="G68" i="78"/>
  <c r="L68" i="78"/>
  <c r="T68" i="78"/>
  <c r="U68" i="78"/>
  <c r="R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F67" i="78"/>
  <c r="U67" i="78"/>
  <c r="Q67" i="78"/>
  <c r="T67" i="78"/>
  <c r="L67" i="78"/>
  <c r="G67" i="78"/>
  <c r="S67" i="78"/>
  <c r="K67" i="78"/>
  <c r="N67" i="78"/>
  <c r="I67" i="78"/>
  <c r="P67" i="78"/>
  <c r="J67" i="78"/>
  <c r="D67" i="78"/>
  <c r="O67" i="78"/>
  <c r="M67" i="78"/>
  <c r="R67" i="78"/>
  <c r="H67" i="78"/>
  <c r="E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M66" i="78"/>
  <c r="K66" i="78"/>
  <c r="T66" i="78"/>
  <c r="D66" i="78"/>
  <c r="G66" i="78"/>
  <c r="P66" i="78"/>
  <c r="U66" i="78"/>
  <c r="E66" i="78"/>
  <c r="I66" i="78"/>
  <c r="F66" i="78"/>
  <c r="N66" i="78"/>
  <c r="H66" i="78"/>
  <c r="Q66" i="78"/>
  <c r="O66" i="78"/>
  <c r="J66" i="78"/>
  <c r="R66" i="78"/>
  <c r="S66" i="78"/>
  <c r="L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R65" i="78"/>
  <c r="E65" i="78"/>
  <c r="K65" i="78"/>
  <c r="Q65" i="78"/>
  <c r="F65" i="78"/>
  <c r="S65" i="78"/>
  <c r="G65" i="78"/>
  <c r="U65" i="78"/>
  <c r="D65" i="78"/>
  <c r="J65" i="78"/>
  <c r="T65" i="78"/>
  <c r="M65" i="78"/>
  <c r="I65" i="78"/>
  <c r="H65" i="78"/>
  <c r="L65" i="78"/>
  <c r="O65" i="78"/>
  <c r="N65" i="78"/>
  <c r="P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G64" i="78"/>
  <c r="M64" i="78"/>
  <c r="K64" i="78"/>
  <c r="J64" i="78"/>
  <c r="O64" i="78"/>
  <c r="U64" i="78"/>
  <c r="I64" i="78"/>
  <c r="S64" i="78"/>
  <c r="D64" i="78"/>
  <c r="P64" i="78"/>
  <c r="E64" i="78"/>
  <c r="Q64" i="78"/>
  <c r="N64" i="78"/>
  <c r="L64" i="78"/>
  <c r="T64" i="78"/>
  <c r="R64" i="78"/>
  <c r="F64" i="78"/>
  <c r="H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H63" i="78"/>
  <c r="Q63" i="78"/>
  <c r="F63" i="78"/>
  <c r="L63" i="78"/>
  <c r="K63" i="78"/>
  <c r="R63" i="78"/>
  <c r="S63" i="78"/>
  <c r="I63" i="78"/>
  <c r="N63" i="78"/>
  <c r="G63" i="78"/>
  <c r="P63" i="78"/>
  <c r="O63" i="78"/>
  <c r="U63" i="78"/>
  <c r="T63" i="78"/>
  <c r="M63" i="78"/>
  <c r="E63" i="78"/>
  <c r="J63" i="78"/>
  <c r="D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C64" i="39" s="1"/>
  <c r="J67" i="25"/>
  <c r="J62" i="51"/>
  <c r="J31" i="51" s="1"/>
  <c r="B34" i="25"/>
  <c r="N35" i="25"/>
  <c r="AV226" i="89" l="1"/>
  <c r="AW226" i="89"/>
  <c r="AY226" i="89" s="1"/>
  <c r="AT223" i="89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C63" i="39" l="1"/>
  <c r="C34" i="25" s="1"/>
  <c r="D34" i="25" s="1"/>
  <c r="E63" i="39"/>
  <c r="G34" i="25" s="1"/>
  <c r="AV223" i="89"/>
  <c r="X65" i="25"/>
  <c r="P65" i="25"/>
  <c r="R65" i="25"/>
  <c r="G63" i="39"/>
  <c r="O34" i="25" s="1"/>
  <c r="P34" i="25" s="1"/>
  <c r="D63" i="39"/>
  <c r="Q34" i="25" s="1"/>
  <c r="D65" i="25"/>
  <c r="V65" i="25"/>
  <c r="T65" i="25"/>
  <c r="AW224" i="89"/>
  <c r="AY224" i="89" s="1"/>
  <c r="T33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9" i="89" l="1"/>
  <c r="C57" i="64" s="1"/>
  <c r="E31" i="50"/>
  <c r="AN177" i="89"/>
  <c r="C55" i="64" s="1"/>
  <c r="E29" i="50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AU255" i="89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F16" i="143" l="1"/>
  <c r="F39" i="143"/>
  <c r="AN170" i="89"/>
  <c r="AO170" i="89" s="1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C48" i="64" l="1"/>
  <c r="AU246" i="89"/>
  <c r="F15" i="143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AN181" i="89" s="1"/>
  <c r="C59" i="64" s="1"/>
  <c r="AU257" i="89" l="1"/>
  <c r="AU258" i="89"/>
  <c r="E34" i="50"/>
  <c r="AO182" i="89"/>
  <c r="C60" i="64"/>
  <c r="Q172" i="49"/>
  <c r="P172" i="49" s="1"/>
  <c r="F7" i="123"/>
  <c r="Q11" i="58"/>
  <c r="Q13" i="58" s="1"/>
  <c r="N13" i="58"/>
  <c r="Q37" i="49" s="1"/>
  <c r="P37" i="49" s="1"/>
  <c r="N14" i="58" l="1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C12" i="58"/>
  <c r="L35" i="58"/>
  <c r="Q146" i="49" s="1"/>
  <c r="P146" i="49" s="1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M30" i="58" s="1"/>
  <c r="T124" i="89"/>
  <c r="T127" i="89" s="1"/>
  <c r="U125" i="89"/>
  <c r="H6" i="50" l="1"/>
  <c r="D62" i="50" s="1"/>
  <c r="E62" i="50" s="1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E13" i="50" s="1"/>
  <c r="D90" i="50"/>
  <c r="E90" i="50" s="1"/>
  <c r="D12" i="50"/>
  <c r="E12" i="50" s="1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AN202" i="89" l="1"/>
  <c r="AU278" i="89" s="1"/>
  <c r="E77" i="50"/>
  <c r="E66" i="50"/>
  <c r="AN199" i="89"/>
  <c r="AU275" i="89" s="1"/>
  <c r="D7" i="50"/>
  <c r="Q217" i="49"/>
  <c r="P217" i="49" s="1"/>
  <c r="Q219" i="49"/>
  <c r="P219" i="49" s="1"/>
  <c r="Q215" i="49"/>
  <c r="P215" i="49" s="1"/>
  <c r="Q150" i="49"/>
  <c r="P150" i="49" s="1"/>
  <c r="Q218" i="49"/>
  <c r="P218" i="49" s="1"/>
  <c r="Q151" i="49"/>
  <c r="P151" i="49" s="1"/>
  <c r="Q226" i="49"/>
  <c r="P226" i="49" s="1"/>
  <c r="Q216" i="49"/>
  <c r="P216" i="49" s="1"/>
  <c r="Q205" i="49"/>
  <c r="P205" i="49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C80" i="64" l="1"/>
  <c r="D80" i="64" s="1"/>
  <c r="E80" i="64" s="1"/>
  <c r="AO202" i="89"/>
  <c r="D5" i="50"/>
  <c r="AU294" i="89"/>
  <c r="E7" i="50"/>
  <c r="AW294" i="89" s="1"/>
  <c r="AN208" i="89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E23" i="58" l="1"/>
  <c r="F23" i="58" s="1"/>
  <c r="Q43" i="49" s="1"/>
  <c r="P43" i="49" s="1"/>
  <c r="AU284" i="89"/>
  <c r="C44" i="64"/>
  <c r="D44" i="64" s="1"/>
  <c r="D45" i="64"/>
  <c r="E45" i="64" s="1"/>
  <c r="AW243" i="89"/>
  <c r="AW284" i="89" s="1"/>
  <c r="L12" i="89" s="1"/>
  <c r="AA144" i="89"/>
  <c r="AC141" i="89"/>
  <c r="AC144" i="89" s="1"/>
  <c r="AD141" i="89"/>
  <c r="L13" i="51"/>
  <c r="L14" i="51" s="1"/>
  <c r="C6" i="51" s="1"/>
  <c r="Q45" i="49"/>
  <c r="P45" i="49" s="1"/>
  <c r="E24" i="58" l="1"/>
  <c r="D14" i="58" s="1"/>
  <c r="E44" i="143" s="1"/>
  <c r="F24" i="58"/>
  <c r="M73" i="39" s="1"/>
  <c r="AY243" i="89"/>
  <c r="C13" i="51"/>
  <c r="O7" i="51"/>
  <c r="D17" i="64"/>
  <c r="E11" i="143" s="1"/>
  <c r="AB144" i="89"/>
  <c r="D33" i="64" l="1"/>
  <c r="O9" i="51" s="1"/>
  <c r="O11" i="51" s="1"/>
  <c r="L73" i="39"/>
  <c r="D54" i="71" s="1"/>
  <c r="Q40" i="49"/>
  <c r="P40" i="49" s="1"/>
  <c r="E33" i="143"/>
  <c r="E34" i="143"/>
  <c r="E32" i="143"/>
  <c r="E52" i="143"/>
  <c r="D15" i="58"/>
  <c r="Q39" i="49" s="1"/>
  <c r="P39" i="49" s="1"/>
  <c r="AY267" i="89"/>
  <c r="Q200" i="49"/>
  <c r="P200" i="49" s="1"/>
  <c r="Q152" i="49"/>
  <c r="P152" i="49" s="1"/>
  <c r="F26" i="143"/>
  <c r="Q194" i="49"/>
  <c r="P194" i="49" s="1"/>
  <c r="Q13" i="49"/>
  <c r="P13" i="49" s="1"/>
  <c r="N103" i="89"/>
  <c r="E17" i="64"/>
  <c r="F17" i="64"/>
  <c r="H42" i="39" s="1"/>
  <c r="AU222" i="89"/>
  <c r="D14" i="64"/>
  <c r="F32" i="143" l="1"/>
  <c r="F34" i="143"/>
  <c r="D53" i="71"/>
  <c r="D52" i="71"/>
  <c r="D48" i="71"/>
  <c r="D44" i="71"/>
  <c r="D46" i="71"/>
  <c r="D34" i="64"/>
  <c r="D42" i="71"/>
  <c r="D50" i="71"/>
  <c r="D49" i="71"/>
  <c r="Q103" i="49"/>
  <c r="P103" i="49" s="1"/>
  <c r="F33" i="143"/>
  <c r="Q88" i="49"/>
  <c r="P88" i="49" s="1"/>
  <c r="F52" i="143"/>
  <c r="F44" i="143"/>
  <c r="D55" i="71"/>
  <c r="D51" i="71"/>
  <c r="D47" i="71"/>
  <c r="D45" i="71"/>
  <c r="D43" i="71"/>
  <c r="D41" i="71"/>
  <c r="AE16" i="89"/>
  <c r="E33" i="64"/>
  <c r="L10" i="89" s="1"/>
  <c r="AU231" i="89"/>
  <c r="AU230" i="89" s="1"/>
  <c r="F33" i="64"/>
  <c r="AO192" i="89"/>
  <c r="AY265" i="89"/>
  <c r="AO190" i="89"/>
  <c r="E60" i="143"/>
  <c r="G49" i="143"/>
  <c r="G54" i="143" s="1"/>
  <c r="O103" i="89"/>
  <c r="N111" i="89"/>
  <c r="AU219" i="89"/>
  <c r="AV222" i="89"/>
  <c r="AW222" i="89"/>
  <c r="Q91" i="49"/>
  <c r="P91" i="49" s="1"/>
  <c r="E14" i="64"/>
  <c r="L8" i="89" s="1"/>
  <c r="F14" i="64"/>
  <c r="AG16" i="89"/>
  <c r="F34" i="64" l="1"/>
  <c r="BA237" i="89"/>
  <c r="Q89" i="49"/>
  <c r="P89" i="49" s="1"/>
  <c r="E34" i="64"/>
  <c r="C5" i="64"/>
  <c r="E57" i="143" s="1"/>
  <c r="J73" i="39"/>
  <c r="AV231" i="89"/>
  <c r="AW231" i="89"/>
  <c r="AY231" i="89" s="1"/>
  <c r="G26" i="143"/>
  <c r="U9" i="89"/>
  <c r="AV230" i="89"/>
  <c r="AW219" i="89"/>
  <c r="AY222" i="89"/>
  <c r="AU237" i="89"/>
  <c r="AV219" i="89"/>
  <c r="AU238" i="89"/>
  <c r="U11" i="89"/>
  <c r="AX219" i="89" l="1"/>
  <c r="AX225" i="89"/>
  <c r="C7" i="64"/>
  <c r="H1" i="61" s="1"/>
  <c r="C52" i="89"/>
  <c r="C54" i="89" s="1"/>
  <c r="Q93" i="49"/>
  <c r="P93" i="49" s="1"/>
  <c r="AW230" i="89"/>
  <c r="AY230" i="89" s="1"/>
  <c r="AW240" i="89"/>
  <c r="AX238" i="89"/>
  <c r="AV238" i="89"/>
  <c r="AW238" i="89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H1" i="82" l="1"/>
  <c r="G1" i="58"/>
  <c r="Q6" i="49"/>
  <c r="P6" i="49" s="1"/>
  <c r="H1" i="87"/>
  <c r="I1" i="51"/>
  <c r="H1" i="78"/>
  <c r="G1" i="142"/>
  <c r="K1" i="50"/>
  <c r="F1" i="71"/>
  <c r="H1" i="25"/>
  <c r="H1" i="137"/>
  <c r="T11" i="89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1457" i="85"/>
  <c r="C1294" i="85"/>
  <c r="C386" i="85"/>
  <c r="C1798" i="85"/>
  <c r="C1523" i="85"/>
  <c r="C1221" i="85"/>
  <c r="C352" i="85"/>
  <c r="C338" i="85"/>
  <c r="C772" i="85"/>
  <c r="C29" i="85"/>
  <c r="C1809" i="85"/>
  <c r="C648" i="85"/>
  <c r="C1958" i="85"/>
  <c r="C1844" i="85"/>
  <c r="C658" i="85"/>
  <c r="C626" i="85"/>
  <c r="C992" i="85"/>
  <c r="C1258" i="85"/>
  <c r="C1715" i="85"/>
  <c r="C952" i="85"/>
  <c r="C354" i="85"/>
  <c r="C223" i="85"/>
  <c r="C1394" i="85"/>
  <c r="C916" i="85"/>
  <c r="C1515" i="85"/>
  <c r="C564" i="85"/>
  <c r="C674" i="85"/>
  <c r="C1230" i="85"/>
  <c r="C63" i="85"/>
  <c r="C1302" i="85"/>
  <c r="C619" i="85"/>
  <c r="C1819" i="85"/>
  <c r="C1537" i="85"/>
  <c r="C1559" i="85"/>
  <c r="C896" i="85"/>
  <c r="C1474" i="85"/>
  <c r="C1759" i="85"/>
  <c r="C1229" i="85"/>
  <c r="C1512" i="85"/>
  <c r="C1911" i="85"/>
  <c r="C1780" i="85"/>
  <c r="C1162" i="85"/>
  <c r="C1128" i="85"/>
  <c r="C382" i="85"/>
  <c r="C1810" i="85"/>
  <c r="C1285" i="85"/>
  <c r="C1883" i="85"/>
  <c r="C1101" i="85"/>
  <c r="C1246" i="85"/>
  <c r="C1744" i="85"/>
  <c r="C988" i="85"/>
  <c r="C1766" i="85"/>
  <c r="C364" i="85"/>
  <c r="C1840" i="85"/>
  <c r="C450" i="85"/>
  <c r="C1161" i="85"/>
  <c r="C888" i="85"/>
  <c r="C1555" i="85"/>
  <c r="C308" i="85"/>
  <c r="C1142" i="85"/>
  <c r="C1443" i="85"/>
  <c r="C1882" i="85"/>
  <c r="C1435" i="85"/>
  <c r="C1087" i="85"/>
  <c r="C474" i="85"/>
  <c r="C841" i="85"/>
  <c r="C1493" i="85"/>
  <c r="C532" i="85"/>
  <c r="C1337" i="85"/>
  <c r="C1256" i="85"/>
  <c r="C726" i="85"/>
  <c r="C637" i="85"/>
  <c r="C1942" i="85"/>
  <c r="C1936" i="85"/>
  <c r="C274" i="85"/>
  <c r="C1930" i="85"/>
  <c r="C1397" i="85"/>
  <c r="C488" i="85"/>
  <c r="C298" i="85"/>
  <c r="C900" i="85"/>
  <c r="C246" i="85"/>
  <c r="C1747" i="85"/>
  <c r="C1642" i="85"/>
  <c r="C1795" i="85"/>
  <c r="C1328" i="85"/>
  <c r="C239" i="85"/>
  <c r="C953" i="85"/>
  <c r="C684" i="85"/>
  <c r="C1596" i="85"/>
  <c r="C1129" i="85"/>
  <c r="C1489" i="85"/>
  <c r="C454" i="85"/>
  <c r="C1210" i="85"/>
  <c r="C1362" i="85"/>
  <c r="C878" i="85"/>
  <c r="C1353" i="85"/>
  <c r="C1001" i="85"/>
  <c r="C1321" i="85"/>
  <c r="C267" i="85"/>
  <c r="C1861" i="85"/>
  <c r="C1072" i="85"/>
  <c r="C399" i="85"/>
  <c r="C1771" i="85"/>
  <c r="C540" i="85"/>
  <c r="C1164" i="85"/>
  <c r="C1692" i="85"/>
  <c r="C1683" i="85"/>
  <c r="C231" i="85"/>
  <c r="C835" i="85"/>
  <c r="C1403" i="85"/>
  <c r="C1648" i="85"/>
  <c r="C397" i="85"/>
  <c r="C517" i="85"/>
  <c r="C391" i="85"/>
  <c r="C1504" i="85"/>
  <c r="C124" i="85"/>
  <c r="C269" i="85"/>
  <c r="C1295" i="85"/>
  <c r="C411" i="85"/>
  <c r="C219" i="85"/>
  <c r="C1917" i="85"/>
  <c r="C955" i="85"/>
  <c r="C680" i="85"/>
  <c r="C309" i="85"/>
  <c r="C447" i="85"/>
  <c r="C986" i="85"/>
  <c r="C880" i="85"/>
  <c r="C1310" i="85"/>
  <c r="C1920" i="85"/>
  <c r="C1069" i="85"/>
  <c r="C1272" i="85"/>
  <c r="C627" i="85"/>
  <c r="C1391" i="85"/>
  <c r="C1379" i="85"/>
  <c r="C1728" i="85"/>
  <c r="C1689" i="85"/>
  <c r="C1701" i="85"/>
  <c r="C373" i="85"/>
  <c r="C1567" i="85"/>
  <c r="C775" i="85"/>
  <c r="C1401" i="85"/>
  <c r="C575" i="85"/>
  <c r="C1837" i="85"/>
  <c r="C543" i="85"/>
  <c r="C1209" i="85"/>
  <c r="C1550" i="85"/>
  <c r="C603" i="85"/>
  <c r="C1769" i="85"/>
  <c r="C1322" i="85"/>
  <c r="C1854" i="85"/>
  <c r="C1647" i="85"/>
  <c r="C568" i="85"/>
  <c r="C1149" i="85"/>
  <c r="C999" i="85"/>
  <c r="C489" i="85"/>
  <c r="C251" i="85"/>
  <c r="C453" i="85"/>
  <c r="C1428" i="85"/>
  <c r="C1573" i="85"/>
  <c r="C515" i="85"/>
  <c r="C196" i="85"/>
  <c r="C1157" i="85"/>
  <c r="C1393" i="85"/>
  <c r="C1645" i="85"/>
  <c r="C428" i="85"/>
  <c r="C1220" i="85"/>
  <c r="C1015" i="85"/>
  <c r="C891" i="85"/>
  <c r="C359" i="85"/>
  <c r="C1885" i="85"/>
  <c r="C1197" i="85"/>
  <c r="C1655" i="85"/>
  <c r="C1965" i="85"/>
  <c r="C1926" i="85"/>
  <c r="C1851" i="85"/>
  <c r="C1681" i="85"/>
  <c r="C940" i="85"/>
  <c r="C449" i="85"/>
  <c r="C706" i="85"/>
  <c r="C1420" i="85"/>
  <c r="C174" i="85"/>
  <c r="C1650" i="85"/>
  <c r="C232" i="85"/>
  <c r="C1677" i="85"/>
  <c r="C1357" i="85"/>
  <c r="C533" i="85"/>
  <c r="C1170" i="85"/>
  <c r="C1048" i="85"/>
  <c r="C1104" i="85"/>
  <c r="C284" i="85"/>
  <c r="C1349" i="85"/>
  <c r="C563" i="85"/>
  <c r="C438" i="85"/>
  <c r="C1115" i="85"/>
  <c r="C1406" i="85"/>
  <c r="C241" i="85"/>
  <c r="C632" i="85"/>
  <c r="C277" i="85"/>
  <c r="C618" i="85"/>
  <c r="C2000" i="85"/>
  <c r="C1755" i="85"/>
  <c r="C1827" i="85"/>
  <c r="C1092" i="85"/>
  <c r="C254" i="85"/>
  <c r="C1964" i="85"/>
  <c r="C1912" i="85"/>
  <c r="C486" i="85"/>
  <c r="C59" i="85"/>
  <c r="C644" i="85"/>
  <c r="C784" i="85"/>
  <c r="C1102" i="85"/>
  <c r="C1987" i="85"/>
  <c r="C1360" i="85"/>
  <c r="C211" i="85"/>
  <c r="C1122" i="85"/>
  <c r="C442" i="85"/>
  <c r="C1712" i="85"/>
  <c r="C689" i="85"/>
  <c r="C951" i="85"/>
  <c r="C1760" i="85"/>
  <c r="C1865" i="85"/>
  <c r="C1012" i="85"/>
  <c r="C782" i="85"/>
  <c r="C1994" i="85"/>
  <c r="C525" i="85"/>
  <c r="C671" i="85"/>
  <c r="C1390" i="85"/>
  <c r="C696" i="85"/>
  <c r="C877" i="85"/>
  <c r="C56" i="85"/>
  <c r="C1413" i="85"/>
  <c r="C914" i="85"/>
  <c r="C1371" i="85"/>
  <c r="C1694" i="85"/>
  <c r="C209" i="85"/>
  <c r="C1011" i="85"/>
  <c r="C817" i="85"/>
  <c r="C405" i="85"/>
  <c r="C1993" i="85"/>
  <c r="C795" i="85"/>
  <c r="C1424" i="85"/>
  <c r="C1732" i="85"/>
  <c r="C1729" i="85"/>
  <c r="C224" i="85"/>
  <c r="C437" i="85"/>
  <c r="C869" i="85"/>
  <c r="C1919" i="85"/>
  <c r="C933" i="85"/>
  <c r="C1252" i="85"/>
  <c r="C1378" i="85"/>
  <c r="C1316" i="85"/>
  <c r="C1070" i="85"/>
  <c r="C1483" i="85"/>
  <c r="C496" i="85"/>
  <c r="C1984" i="85"/>
  <c r="C816" i="85"/>
  <c r="C1544" i="85"/>
  <c r="C946" i="85"/>
  <c r="C358" i="85"/>
  <c r="C814" i="85"/>
  <c r="C220" i="85"/>
  <c r="C507" i="85"/>
  <c r="C824" i="85"/>
  <c r="C1659" i="85"/>
  <c r="C625" i="85"/>
  <c r="C996" i="85"/>
  <c r="C1418" i="85"/>
  <c r="C182" i="85"/>
  <c r="C189" i="85"/>
  <c r="C643" i="85"/>
  <c r="C1290" i="85"/>
  <c r="C1180" i="85"/>
  <c r="C1538" i="85"/>
  <c r="C1855" i="85"/>
  <c r="C1974" i="85"/>
  <c r="C333" i="85"/>
  <c r="C534" i="85"/>
  <c r="C291" i="85"/>
  <c r="C552" i="85"/>
  <c r="C1773" i="85"/>
  <c r="C1111" i="85"/>
  <c r="C270" i="85"/>
  <c r="C1251" i="85"/>
  <c r="C965" i="85"/>
  <c r="C1576" i="85"/>
  <c r="C1430" i="85"/>
  <c r="C852" i="85"/>
  <c r="C692" i="85"/>
  <c r="C168" i="85"/>
  <c r="C560" i="85"/>
  <c r="C672" i="85"/>
  <c r="C355" i="85"/>
  <c r="C1060" i="85"/>
  <c r="C181" i="85"/>
  <c r="C1709" i="85"/>
  <c r="C1932" i="85"/>
  <c r="C1350" i="85"/>
  <c r="C282" i="85"/>
  <c r="C745" i="85"/>
  <c r="C589" i="85"/>
  <c r="C1971" i="85"/>
  <c r="C1914" i="85"/>
  <c r="C1033" i="85"/>
  <c r="C452" i="85"/>
  <c r="C1034" i="85"/>
  <c r="C1581" i="85"/>
  <c r="C800" i="85"/>
  <c r="C670" i="85"/>
  <c r="C297" i="85"/>
  <c r="C202" i="85"/>
  <c r="C1496" i="85"/>
  <c r="C315" i="85"/>
  <c r="C728" i="85"/>
  <c r="C1445" i="85"/>
  <c r="C1823" i="85"/>
  <c r="C964" i="85"/>
  <c r="C1396" i="85"/>
  <c r="C1146" i="85"/>
  <c r="C1976" i="85"/>
  <c r="C451" i="85"/>
  <c r="C1977" i="85"/>
  <c r="C1633" i="85"/>
  <c r="C926" i="85"/>
  <c r="C1714" i="85"/>
  <c r="C1872" i="85"/>
  <c r="C64" i="85"/>
  <c r="C1199" i="85"/>
  <c r="C1298" i="85"/>
  <c r="C253" i="85"/>
  <c r="C526" i="85"/>
  <c r="C923" i="85"/>
  <c r="C1387" i="85"/>
  <c r="C226" i="85"/>
  <c r="C730" i="85"/>
  <c r="C1738" i="85"/>
  <c r="C1805" i="85"/>
  <c r="C492" i="85"/>
  <c r="C1622" i="85"/>
  <c r="C33" i="85"/>
  <c r="C548" i="85"/>
  <c r="C1604" i="85"/>
  <c r="C1319" i="85"/>
  <c r="C227" i="85"/>
  <c r="C470" i="85"/>
  <c r="C806" i="85"/>
  <c r="C1834" i="85"/>
  <c r="C1937" i="85"/>
  <c r="C1713" i="85"/>
  <c r="C1431" i="85"/>
  <c r="C337" i="85"/>
  <c r="C1412" i="85"/>
  <c r="C1240" i="85"/>
  <c r="C743" i="85"/>
  <c r="C1067" i="85"/>
  <c r="C1894" i="85"/>
  <c r="C860" i="85"/>
  <c r="C1710" i="85"/>
  <c r="C640" i="85"/>
  <c r="C1154" i="85"/>
  <c r="C120" i="85"/>
  <c r="C1960" i="85"/>
  <c r="C1925" i="85"/>
  <c r="C1812" i="85"/>
  <c r="C478" i="85"/>
  <c r="C1673" i="85"/>
  <c r="C1774" i="85"/>
  <c r="C1991" i="85"/>
  <c r="C711" i="85"/>
  <c r="C1455" i="85"/>
  <c r="C1283" i="85"/>
  <c r="C469" i="85"/>
  <c r="C1163" i="85"/>
  <c r="C456" i="85"/>
  <c r="C1500" i="85"/>
  <c r="C1619" i="85"/>
  <c r="C833" i="85"/>
  <c r="C1533" i="85"/>
  <c r="C790" i="85"/>
  <c r="C1742" i="85"/>
  <c r="C1549" i="85"/>
  <c r="C828" i="85"/>
  <c r="C849" i="85"/>
  <c r="C1821" i="85"/>
  <c r="C1751" i="85"/>
  <c r="C1639" i="85"/>
  <c r="C79" i="85"/>
  <c r="C1569" i="85"/>
  <c r="C1801" i="85"/>
  <c r="C1133" i="85"/>
  <c r="C970" i="85"/>
  <c r="C1735" i="85"/>
  <c r="C1610" i="85"/>
  <c r="C1090" i="85"/>
  <c r="C957" i="85"/>
  <c r="C1807" i="85"/>
  <c r="C646" i="85"/>
  <c r="C215" i="85"/>
  <c r="C345" i="85"/>
  <c r="C1140" i="85"/>
  <c r="C732" i="85"/>
  <c r="C645" i="85"/>
  <c r="C854" i="85"/>
  <c r="C623" i="85"/>
  <c r="C1214" i="85"/>
  <c r="C1791" i="85"/>
  <c r="C376" i="85"/>
  <c r="C1924" i="85"/>
  <c r="C1386" i="85"/>
  <c r="C179" i="85"/>
  <c r="C1267" i="85"/>
  <c r="C1952" i="85"/>
  <c r="C214" i="85"/>
  <c r="C683" i="85"/>
  <c r="C432" i="85"/>
  <c r="C1275" i="85"/>
  <c r="C1050" i="85"/>
  <c r="C1345" i="85"/>
  <c r="C213" i="85"/>
  <c r="C187" i="85"/>
  <c r="C796" i="85"/>
  <c r="C1438" i="85"/>
  <c r="C593" i="85"/>
  <c r="C1562" i="85"/>
  <c r="C1494" i="85"/>
  <c r="C735" i="85"/>
  <c r="C444" i="85"/>
  <c r="C1120" i="85"/>
  <c r="C859" i="85"/>
  <c r="C385" i="85"/>
  <c r="C1411" i="85"/>
  <c r="C417" i="85"/>
  <c r="C1096" i="85"/>
  <c r="C1020" i="85"/>
  <c r="C1100" i="85"/>
  <c r="C51" i="85"/>
  <c r="C1153" i="85"/>
  <c r="C855" i="85"/>
  <c r="C1189" i="85"/>
  <c r="C1147" i="85"/>
  <c r="C1325" i="85"/>
  <c r="C201" i="85"/>
  <c r="C650" i="85"/>
  <c r="C879" i="85"/>
  <c r="C1765" i="85"/>
  <c r="C1800" i="85"/>
  <c r="C703" i="85"/>
  <c r="C58" i="85"/>
  <c r="C1498" i="85"/>
  <c r="C954" i="85"/>
  <c r="C1183" i="85"/>
  <c r="C1085" i="85"/>
  <c r="C561" i="85"/>
  <c r="C802" i="85"/>
  <c r="C252" i="85"/>
  <c r="C1192" i="85"/>
  <c r="C1389" i="85"/>
  <c r="C930" i="85"/>
  <c r="C296" i="85"/>
  <c r="C395" i="85"/>
  <c r="C614" i="85"/>
  <c r="C1091" i="85"/>
  <c r="C1202" i="85"/>
  <c r="C617" i="85"/>
  <c r="C898" i="85"/>
  <c r="C1697" i="85"/>
  <c r="C1359" i="85"/>
  <c r="C630" i="85"/>
  <c r="C1416" i="85"/>
  <c r="C288" i="85"/>
  <c r="C1781" i="85"/>
  <c r="C371" i="85"/>
  <c r="C1064" i="85"/>
  <c r="C1986" i="85"/>
  <c r="C401" i="85"/>
  <c r="C185" i="85"/>
  <c r="C1212" i="85"/>
  <c r="C237" i="85"/>
  <c r="C792" i="85"/>
  <c r="C756" i="85"/>
  <c r="C1698" i="85"/>
  <c r="C1110" i="85"/>
  <c r="C173" i="85"/>
  <c r="C193" i="85"/>
  <c r="C326" i="85"/>
  <c r="C864" i="85"/>
  <c r="C1384" i="85"/>
  <c r="C128" i="85"/>
  <c r="C721" i="85"/>
  <c r="C1479" i="85"/>
  <c r="C1526" i="85"/>
  <c r="C1615" i="85"/>
  <c r="C329" i="85"/>
  <c r="C1605" i="85"/>
  <c r="C1306" i="85"/>
  <c r="C172" i="85"/>
  <c r="C1351" i="85"/>
  <c r="C553" i="85"/>
  <c r="C1988" i="85"/>
  <c r="C1626" i="85"/>
  <c r="C49" i="85"/>
  <c r="C1160" i="85"/>
  <c r="C1119" i="85"/>
  <c r="C766" i="85"/>
  <c r="C1352" i="85"/>
  <c r="C1808" i="85"/>
  <c r="C1501" i="85"/>
  <c r="C972" i="85"/>
  <c r="C191" i="85"/>
  <c r="C1355" i="85"/>
  <c r="C429" i="85"/>
  <c r="C1084" i="85"/>
  <c r="C962" i="85"/>
  <c r="C372" i="85"/>
  <c r="C1797" i="85"/>
  <c r="C768" i="85"/>
  <c r="C808" i="85"/>
  <c r="C1927" i="85"/>
  <c r="C882" i="85"/>
  <c r="C1618" i="85"/>
  <c r="C634" i="85"/>
  <c r="C1897" i="85"/>
  <c r="C1563" i="85"/>
  <c r="C1030" i="85"/>
  <c r="C574" i="85"/>
  <c r="C1402" i="85"/>
  <c r="C1546" i="85"/>
  <c r="C729" i="85"/>
  <c r="C547" i="85"/>
  <c r="C1574" i="85"/>
  <c r="C312" i="85"/>
  <c r="C1874" i="85"/>
  <c r="C307" i="85"/>
  <c r="C1505" i="85"/>
  <c r="C205" i="85"/>
  <c r="C1702" i="85"/>
  <c r="C847" i="85"/>
  <c r="C1488" i="85"/>
  <c r="C899" i="85"/>
  <c r="C698" i="85"/>
  <c r="C873" i="85"/>
  <c r="C1620" i="85"/>
  <c r="C1286" i="85"/>
  <c r="C1534" i="85"/>
  <c r="C592" i="85"/>
  <c r="C1047" i="85"/>
  <c r="C1218" i="85"/>
  <c r="C1105" i="85"/>
  <c r="C1421" i="85"/>
  <c r="C910" i="85"/>
  <c r="C1288" i="85"/>
  <c r="C384" i="85"/>
  <c r="C1485" i="85"/>
  <c r="C410" i="85"/>
  <c r="C1684" i="85"/>
  <c r="C1076" i="85"/>
  <c r="C493" i="85"/>
  <c r="C1311" i="85"/>
  <c r="C1830" i="85"/>
  <c r="C1264" i="85"/>
  <c r="C1978" i="85"/>
  <c r="C1297" i="85"/>
  <c r="C260" i="85"/>
  <c r="C263" i="85"/>
  <c r="C1026" i="85"/>
  <c r="C1318" i="85"/>
  <c r="C1444" i="85"/>
  <c r="C866" i="85"/>
  <c r="C1244" i="85"/>
  <c r="C1342" i="85"/>
  <c r="C1831" i="85"/>
  <c r="C595" i="85"/>
  <c r="C1208" i="85"/>
  <c r="C238" i="85"/>
  <c r="C1503" i="85"/>
  <c r="C1955" i="85"/>
  <c r="C477" i="85"/>
  <c r="C471" i="85"/>
  <c r="C1530" i="85"/>
  <c r="C1836" i="85"/>
  <c r="C943" i="85"/>
  <c r="C415" i="85"/>
  <c r="C334" i="85"/>
  <c r="C1635" i="85"/>
  <c r="C555" i="85"/>
  <c r="C448" i="85"/>
  <c r="C803" i="85"/>
  <c r="C1257" i="85"/>
  <c r="C1305" i="85"/>
  <c r="C909" i="85"/>
  <c r="C1931" i="85"/>
  <c r="C281" i="85"/>
  <c r="C1135" i="85"/>
  <c r="C1332" i="85"/>
  <c r="C707" i="85"/>
  <c r="C1330" i="85"/>
  <c r="C581" i="85"/>
  <c r="C811" i="85"/>
  <c r="C460" i="85"/>
  <c r="C472" i="85"/>
  <c r="C1449" i="85"/>
  <c r="C1057" i="85"/>
  <c r="C305" i="85"/>
  <c r="C872" i="85"/>
  <c r="C1184" i="85"/>
  <c r="C1826" i="85"/>
  <c r="C480" i="85"/>
  <c r="C995" i="85"/>
  <c r="C1388" i="85"/>
  <c r="C1691" i="85"/>
  <c r="C708" i="85"/>
  <c r="C1981" i="85"/>
  <c r="C1137" i="85"/>
  <c r="C1972" i="85"/>
  <c r="C464" i="85"/>
  <c r="C1260" i="85"/>
  <c r="C233" i="85"/>
  <c r="C1361" i="85"/>
  <c r="C1021" i="85"/>
  <c r="C183" i="85"/>
  <c r="C897" i="85"/>
  <c r="C1554" i="85"/>
  <c r="C1671" i="85"/>
  <c r="C344" i="85"/>
  <c r="C1241" i="85"/>
  <c r="C430" i="85"/>
  <c r="C1228" i="85"/>
  <c r="C569" i="85"/>
  <c r="C1613" i="85"/>
  <c r="C1108" i="85"/>
  <c r="C1262" i="85"/>
  <c r="C1705" i="85"/>
  <c r="C920" i="85"/>
  <c r="C1776" i="85"/>
  <c r="C1662" i="85"/>
  <c r="C1059" i="85"/>
  <c r="C1739" i="85"/>
  <c r="C1211" i="85"/>
  <c r="C1073" i="85"/>
  <c r="C1940" i="85"/>
  <c r="C475" i="85"/>
  <c r="C685" i="85"/>
  <c r="C572" i="85"/>
  <c r="C1181" i="85"/>
  <c r="C1539" i="85"/>
  <c r="C1584" i="85"/>
  <c r="C461" i="85"/>
  <c r="C666" i="85"/>
  <c r="C1548" i="85"/>
  <c r="C1188" i="85"/>
  <c r="C557" i="85"/>
  <c r="C197" i="85"/>
  <c r="C1005" i="85"/>
  <c r="C1304" i="85"/>
  <c r="C363" i="85"/>
  <c r="C304" i="85"/>
  <c r="C976" i="85"/>
  <c r="C1339" i="85"/>
  <c r="C919" i="85"/>
  <c r="C178" i="85"/>
  <c r="C1249" i="85"/>
  <c r="C687" i="85"/>
  <c r="C932" i="85"/>
  <c r="C1063" i="85"/>
  <c r="C636" i="85"/>
  <c r="C1476" i="85"/>
  <c r="C1364" i="85"/>
  <c r="C1077" i="85"/>
  <c r="C76" i="85"/>
  <c r="C1784" i="85"/>
  <c r="C317" i="85"/>
  <c r="C1519" i="85"/>
  <c r="C1552" i="85"/>
  <c r="C1843" i="85"/>
  <c r="C483" i="85"/>
  <c r="C1497" i="85"/>
  <c r="C1817" i="85"/>
  <c r="C638" i="85"/>
  <c r="C1055" i="85"/>
  <c r="C420" i="85"/>
  <c r="C500" i="85"/>
  <c r="C1969" i="85"/>
  <c r="C318" i="85"/>
  <c r="C922" i="85"/>
  <c r="C1890" i="85"/>
  <c r="C635" i="85"/>
  <c r="C441" i="85"/>
  <c r="C1191" i="85"/>
  <c r="C779" i="85"/>
  <c r="C93" i="85"/>
  <c r="C177" i="85"/>
  <c r="C1066" i="85"/>
  <c r="C1954" i="85"/>
  <c r="C921" i="85"/>
  <c r="C1482" i="85"/>
  <c r="C218" i="85"/>
  <c r="C314" i="85"/>
  <c r="C875" i="85"/>
  <c r="C1405" i="85"/>
  <c r="C83" i="85"/>
  <c r="C1323" i="85"/>
  <c r="C1475" i="85"/>
  <c r="C905" i="85"/>
  <c r="C901" i="85"/>
  <c r="C748" i="85"/>
  <c r="C1141" i="85"/>
  <c r="C1134" i="85"/>
  <c r="C342" i="85"/>
  <c r="C499" i="85"/>
  <c r="C1175" i="85"/>
  <c r="C801" i="85"/>
  <c r="C1086" i="85"/>
  <c r="C1743" i="85"/>
  <c r="C1700" i="85"/>
  <c r="C398" i="85"/>
  <c r="C705" i="85"/>
  <c r="C1666" i="85"/>
  <c r="C580" i="85"/>
  <c r="C694" i="85"/>
  <c r="C1601" i="85"/>
  <c r="C805" i="85"/>
  <c r="C1300" i="85"/>
  <c r="C825" i="85"/>
  <c r="C1203" i="85"/>
  <c r="C520" i="85"/>
  <c r="C1963" i="85"/>
  <c r="C1010" i="85"/>
  <c r="C1726" i="85"/>
  <c r="C1049" i="85"/>
  <c r="C1656" i="85"/>
  <c r="C413" i="85"/>
  <c r="C378" i="85"/>
  <c r="C1586" i="85"/>
  <c r="C1939" i="85"/>
  <c r="C340" i="85"/>
  <c r="C1824" i="85"/>
  <c r="C1477" i="85"/>
  <c r="C1979" i="85"/>
  <c r="C1868" i="85"/>
  <c r="C261" i="85"/>
  <c r="C840" i="85"/>
  <c r="C283" i="85"/>
  <c r="C755" i="85"/>
  <c r="C1947" i="85"/>
  <c r="C1056" i="85"/>
  <c r="C521" i="85"/>
  <c r="C341" i="85"/>
  <c r="C809" i="85"/>
  <c r="C693" i="85"/>
  <c r="C602" i="85"/>
  <c r="C649" i="85"/>
  <c r="C1038" i="85"/>
  <c r="C408" i="85"/>
  <c r="C1545" i="85"/>
  <c r="C1095" i="85"/>
  <c r="C440" i="85"/>
  <c r="C1018" i="85"/>
  <c r="C1499" i="85"/>
  <c r="C1529" i="85"/>
  <c r="C753" i="85"/>
  <c r="C1465" i="85"/>
  <c r="C761" i="85"/>
  <c r="C1943" i="85"/>
  <c r="C1025" i="85"/>
  <c r="C628" i="85"/>
  <c r="C737" i="85"/>
  <c r="C230" i="85"/>
  <c r="C445" i="85"/>
  <c r="C1226" i="85"/>
  <c r="C1080" i="85"/>
  <c r="C1190" i="85"/>
  <c r="C1995" i="85"/>
  <c r="C1849" i="85"/>
  <c r="C1481" i="85"/>
  <c r="C1502" i="85"/>
  <c r="C421" i="85"/>
  <c r="C1035" i="85"/>
  <c r="C1734" i="85"/>
  <c r="C1292" i="85"/>
  <c r="C1905" i="85"/>
  <c r="C1590" i="85"/>
  <c r="C1644" i="85"/>
  <c r="C1398" i="85"/>
  <c r="C1460" i="85"/>
  <c r="C1156" i="85"/>
  <c r="C362" i="85"/>
  <c r="C396" i="85"/>
  <c r="C1151" i="85"/>
  <c r="C716" i="85"/>
  <c r="C1171" i="85"/>
  <c r="C1672" i="85"/>
  <c r="C1928" i="85"/>
  <c r="C1669" i="85"/>
  <c r="C374" i="85"/>
  <c r="C331" i="85"/>
  <c r="C1313" i="85"/>
  <c r="C1028" i="85"/>
  <c r="C1491" i="85"/>
  <c r="C118" i="85"/>
  <c r="C700" i="85"/>
  <c r="C236" i="85"/>
  <c r="C1857" i="85"/>
  <c r="C1123" i="85"/>
  <c r="C842" i="85"/>
  <c r="C1452" i="85"/>
  <c r="C501" i="85"/>
  <c r="C968" i="85"/>
  <c r="C984" i="85"/>
  <c r="C74" i="85"/>
  <c r="C1876" i="85"/>
  <c r="C1113" i="85"/>
  <c r="C1597" i="85"/>
  <c r="C1358" i="85"/>
  <c r="C1468" i="85"/>
  <c r="C1261" i="85"/>
  <c r="C1944" i="85"/>
  <c r="C894" i="85"/>
  <c r="C519" i="85"/>
  <c r="C838" i="85"/>
  <c r="C388" i="85"/>
  <c r="C1814" i="85"/>
  <c r="C1232" i="85"/>
  <c r="C1973" i="85"/>
  <c r="C815" i="85"/>
  <c r="C1414" i="85"/>
  <c r="C1667" i="85"/>
  <c r="C770" i="85"/>
  <c r="C184" i="85"/>
  <c r="C1654" i="85"/>
  <c r="C1462" i="85"/>
  <c r="C1145" i="85"/>
  <c r="C1374" i="85"/>
  <c r="C1456" i="85"/>
  <c r="C412" i="85"/>
  <c r="C535" i="85"/>
  <c r="C1075" i="85"/>
  <c r="C949" i="85"/>
  <c r="C597" i="85"/>
  <c r="C1032" i="85"/>
  <c r="C1159" i="85"/>
  <c r="C199" i="85"/>
  <c r="C1520" i="85"/>
  <c r="C1915" i="85"/>
  <c r="C1968" i="85"/>
  <c r="C67" i="85"/>
  <c r="C313" i="85"/>
  <c r="C513" i="85"/>
  <c r="C1309" i="85"/>
  <c r="C379" i="85"/>
  <c r="C349" i="85"/>
  <c r="C336" i="85"/>
  <c r="C1783" i="85"/>
  <c r="C1327" i="85"/>
  <c r="C823" i="85"/>
  <c r="C1335" i="85"/>
  <c r="C757" i="85"/>
  <c r="C351" i="85"/>
  <c r="C1778" i="85"/>
  <c r="C1686" i="85"/>
  <c r="C1768" i="85"/>
  <c r="C1291" i="85"/>
  <c r="C1185" i="85"/>
  <c r="C661" i="85"/>
  <c r="C1130" i="85"/>
  <c r="C1279" i="85"/>
  <c r="C1935" i="85"/>
  <c r="C457" i="85"/>
  <c r="C1687" i="85"/>
  <c r="C1521" i="85"/>
  <c r="C426" i="85"/>
  <c r="C1238" i="85"/>
  <c r="C1903" i="85"/>
  <c r="C1833" i="85"/>
  <c r="C418" i="85"/>
  <c r="C1975" i="85"/>
  <c r="C1231" i="85"/>
  <c r="C1708" i="85"/>
  <c r="C1811" i="85"/>
  <c r="C912" i="85"/>
  <c r="C81" i="85"/>
  <c r="C356" i="85"/>
  <c r="C1899" i="85"/>
  <c r="C266" i="85"/>
  <c r="C1565" i="85"/>
  <c r="C1195" i="85"/>
  <c r="C769" i="85"/>
  <c r="C1019" i="85"/>
  <c r="C78" i="85"/>
  <c r="C1253" i="85"/>
  <c r="C455" i="85"/>
  <c r="C846" i="85"/>
  <c r="C1429" i="85"/>
  <c r="C1678" i="85"/>
  <c r="C1858" i="85"/>
  <c r="C1547" i="85"/>
  <c r="C1348" i="85"/>
  <c r="C1902" i="85"/>
  <c r="C1486" i="85"/>
  <c r="C1131" i="85"/>
  <c r="C969" i="85"/>
  <c r="C347" i="85"/>
  <c r="C1956" i="85"/>
  <c r="C1040" i="85"/>
  <c r="C1422" i="85"/>
  <c r="C393" i="85"/>
  <c r="C613" i="85"/>
  <c r="C1373" i="85"/>
  <c r="C907" i="85"/>
  <c r="C247" i="85"/>
  <c r="C1982" i="85"/>
  <c r="C1828" i="85"/>
  <c r="C1284" i="85"/>
  <c r="C892" i="85"/>
  <c r="C1718" i="85"/>
  <c r="C651" i="85"/>
  <c r="C402" i="85"/>
  <c r="C505" i="85"/>
  <c r="C1173" i="85"/>
  <c r="C1696" i="85"/>
  <c r="C863" i="85"/>
  <c r="C1116" i="85"/>
  <c r="C335" i="85"/>
  <c r="C990" i="85"/>
  <c r="C414" i="85"/>
  <c r="C612" i="85"/>
  <c r="C289" i="85"/>
  <c r="C1856" i="85"/>
  <c r="C686" i="85"/>
  <c r="C1699" i="85"/>
  <c r="C1112" i="85"/>
  <c r="C1867" i="85"/>
  <c r="C1782" i="85"/>
  <c r="C605" i="85"/>
  <c r="C906" i="85"/>
  <c r="C608" i="85"/>
  <c r="C959" i="85"/>
  <c r="C235" i="85"/>
  <c r="C760" i="85"/>
  <c r="C1535" i="85"/>
  <c r="C759" i="85"/>
  <c r="C539" i="85"/>
  <c r="C1027" i="85"/>
  <c r="C935" i="85"/>
  <c r="C578" i="85"/>
  <c r="C1237" i="85"/>
  <c r="C404" i="85"/>
  <c r="C1363" i="85"/>
  <c r="C1117" i="85"/>
  <c r="C1553" i="85"/>
  <c r="C771" i="85"/>
  <c r="C462" i="85"/>
  <c r="C712" i="85"/>
  <c r="C1409" i="85"/>
  <c r="C1446" i="85"/>
  <c r="C1637" i="85"/>
  <c r="C746" i="85"/>
  <c r="C1946" i="85"/>
  <c r="C1923" i="85"/>
  <c r="C1970" i="85"/>
  <c r="C286" i="85"/>
  <c r="C80" i="85"/>
  <c r="C1676" i="85"/>
  <c r="C276" i="85"/>
  <c r="C508" i="85"/>
  <c r="C1941" i="85"/>
  <c r="C1143" i="85"/>
  <c r="C1487" i="85"/>
  <c r="C924" i="85"/>
  <c r="C116" i="85"/>
  <c r="C1877" i="85"/>
  <c r="C332" i="85"/>
  <c r="C316" i="85"/>
  <c r="C1139" i="85"/>
  <c r="C881" i="85"/>
  <c r="C837" i="85"/>
  <c r="C857" i="85"/>
  <c r="C1543" i="85"/>
  <c r="C389" i="85"/>
  <c r="C433" i="85"/>
  <c r="C279" i="85"/>
  <c r="C664" i="85"/>
  <c r="C944" i="85"/>
  <c r="C1470" i="85"/>
  <c r="C934" i="85"/>
  <c r="C271" i="85"/>
  <c r="C1165" i="85"/>
  <c r="C294" i="85"/>
  <c r="C403" i="85"/>
  <c r="C827" i="85"/>
  <c r="C1006" i="85"/>
  <c r="C1878" i="85"/>
  <c r="C203" i="85"/>
  <c r="C961" i="85"/>
  <c r="C1764" i="85"/>
  <c r="C1007" i="85"/>
  <c r="C27" i="85"/>
  <c r="C1524" i="85"/>
  <c r="C1442" i="85"/>
  <c r="C1641" i="85"/>
  <c r="C1600" i="85"/>
  <c r="C1395" i="85"/>
  <c r="C1630" i="85"/>
  <c r="C1802" i="85"/>
  <c r="C720" i="85"/>
  <c r="C980" i="85"/>
  <c r="C194" i="85"/>
  <c r="C989" i="85"/>
  <c r="C1472" i="85"/>
  <c r="C1813" i="85"/>
  <c r="C1703" i="85"/>
  <c r="C799" i="85"/>
  <c r="C206" i="85"/>
  <c r="C41" i="85"/>
  <c r="C631" i="85"/>
  <c r="C419" i="85"/>
  <c r="C663" i="85"/>
  <c r="C1124" i="85"/>
  <c r="C216" i="85"/>
  <c r="C516" i="85"/>
  <c r="C1213" i="85"/>
  <c r="C1907" i="85"/>
  <c r="C749" i="85"/>
  <c r="C1951" i="85"/>
  <c r="C1136" i="85"/>
  <c r="C1125" i="85"/>
  <c r="C1881" i="85"/>
  <c r="C1962" i="85"/>
  <c r="C324" i="85"/>
  <c r="C242" i="85"/>
  <c r="C856" i="85"/>
  <c r="C1369" i="85"/>
  <c r="C1997" i="85"/>
  <c r="C431" i="85"/>
  <c r="C697" i="85"/>
  <c r="C323" i="85"/>
  <c r="C1557" i="85"/>
  <c r="C1948" i="85"/>
  <c r="C606" i="85"/>
  <c r="C1458" i="85"/>
  <c r="C40" i="85"/>
  <c r="C848" i="85"/>
  <c r="C416" i="85"/>
  <c r="C1822" i="85"/>
  <c r="C1916" i="85"/>
  <c r="C1207" i="85"/>
  <c r="C175" i="85"/>
  <c r="C1307" i="85"/>
  <c r="C789" i="85"/>
  <c r="C1243" i="85"/>
  <c r="C681" i="85"/>
  <c r="C370" i="85"/>
  <c r="C688" i="85"/>
  <c r="C1980" i="85"/>
  <c r="C1367" i="85"/>
  <c r="C1094" i="85"/>
  <c r="C257" i="85"/>
  <c r="C1138" i="85"/>
  <c r="C1166" i="85"/>
  <c r="C368" i="85"/>
  <c r="C673" i="85"/>
  <c r="C1448" i="85"/>
  <c r="C1623" i="85"/>
  <c r="C1495" i="85"/>
  <c r="C845" i="85"/>
  <c r="C1910" i="85"/>
  <c r="C1277" i="85"/>
  <c r="C1852" i="85"/>
  <c r="C1719" i="85"/>
  <c r="C243" i="85"/>
  <c r="C941" i="85"/>
  <c r="C1643" i="85"/>
  <c r="C300" i="85"/>
  <c r="C1317" i="85"/>
  <c r="C945" i="85"/>
  <c r="C1003" i="85"/>
  <c r="C1469" i="85"/>
  <c r="C918" i="85"/>
  <c r="C551" i="85"/>
  <c r="C1983" i="85"/>
  <c r="C1464" i="85"/>
  <c r="C997" i="85"/>
  <c r="C1879" i="85"/>
  <c r="C1953" i="85"/>
  <c r="C1106" i="85"/>
  <c r="C1299" i="85"/>
  <c r="C1177" i="85"/>
  <c r="C463" i="85"/>
  <c r="C762" i="85"/>
  <c r="C662" i="85"/>
  <c r="C1756" i="85"/>
  <c r="C1385" i="85"/>
  <c r="C767" i="85"/>
  <c r="C657" i="85"/>
  <c r="C1887" i="85"/>
  <c r="C479" i="85"/>
  <c r="C765" i="85"/>
  <c r="C776" i="85"/>
  <c r="C758" i="85"/>
  <c r="C65" i="85"/>
  <c r="C793" i="85"/>
  <c r="C1282" i="85"/>
  <c r="C188" i="85"/>
  <c r="C1281" i="85"/>
  <c r="C1377" i="85"/>
  <c r="C633" i="85"/>
  <c r="C590" i="85"/>
  <c r="C1400" i="85"/>
  <c r="C1730" i="85"/>
  <c r="C967" i="85"/>
  <c r="C527" i="85"/>
  <c r="C268" i="85"/>
  <c r="C1967" i="85"/>
  <c r="C1609" i="85"/>
  <c r="C1071" i="85"/>
  <c r="C1478" i="85"/>
  <c r="C1031" i="85"/>
  <c r="C1723" i="85"/>
  <c r="C245" i="85"/>
  <c r="C629" i="85"/>
  <c r="C1372" i="85"/>
  <c r="C887" i="85"/>
  <c r="C262" i="85"/>
  <c r="C1009" i="85"/>
  <c r="C958" i="85"/>
  <c r="C538" i="85"/>
  <c r="C1921" i="85"/>
  <c r="C68" i="85"/>
  <c r="C259" i="85"/>
  <c r="C1440" i="85"/>
  <c r="C885" i="85"/>
  <c r="C733" i="85"/>
  <c r="C545" i="85"/>
  <c r="C50" i="85"/>
  <c r="C785" i="85"/>
  <c r="C1908" i="85"/>
  <c r="C704" i="85"/>
  <c r="C1204" i="85"/>
  <c r="C676" i="85"/>
  <c r="C1611" i="85"/>
  <c r="C1346" i="85"/>
  <c r="C1014" i="85"/>
  <c r="C1566" i="85"/>
  <c r="C1794" i="85"/>
  <c r="C1588" i="85"/>
  <c r="C422" i="85"/>
  <c r="C868" i="85"/>
  <c r="C357" i="85"/>
  <c r="C1646" i="85"/>
  <c r="C502" i="85"/>
  <c r="C1658" i="85"/>
  <c r="C1144" i="85"/>
  <c r="C1999" i="85"/>
  <c r="C709" i="85"/>
  <c r="C826" i="85"/>
  <c r="C1777" i="85"/>
  <c r="C1806" i="85"/>
  <c r="C1889" i="85"/>
  <c r="C1205" i="85"/>
  <c r="C738" i="85"/>
  <c r="C1517" i="85"/>
  <c r="C1631" i="85"/>
  <c r="C482" i="85"/>
  <c r="C665" i="85"/>
  <c r="C1690" i="85"/>
  <c r="C1945" i="85"/>
  <c r="C1598" i="85"/>
  <c r="C1616" i="85"/>
  <c r="C1804" i="85"/>
  <c r="C1263" i="85"/>
  <c r="C652" i="85"/>
  <c r="C400" i="85"/>
  <c r="C659" i="85"/>
  <c r="C1065" i="85"/>
  <c r="C1880" i="85"/>
  <c r="C1892" i="85"/>
  <c r="C1542" i="85"/>
  <c r="C459" i="85"/>
  <c r="C495" i="85"/>
  <c r="C780" i="85"/>
  <c r="C677" i="85"/>
  <c r="C544" i="85"/>
  <c r="C126" i="85"/>
  <c r="C586" i="85"/>
  <c r="C971" i="85"/>
  <c r="C1740" i="85"/>
  <c r="C84" i="85"/>
  <c r="C1636" i="85"/>
  <c r="C1432" i="85"/>
  <c r="C1366" i="85"/>
  <c r="C1492" i="85"/>
  <c r="C1891" i="85"/>
  <c r="C204" i="85"/>
  <c r="C473" i="85"/>
  <c r="C529" i="85"/>
  <c r="C1727" i="85"/>
  <c r="C330" i="85"/>
  <c r="C654" i="85"/>
  <c r="C1227" i="85"/>
  <c r="C1653" i="85"/>
  <c r="C1871" i="85"/>
  <c r="C950" i="85"/>
  <c r="C1627" i="85"/>
  <c r="C1688" i="85"/>
  <c r="C1480" i="85"/>
  <c r="C1062" i="85"/>
  <c r="C1248" i="85"/>
  <c r="C180" i="85"/>
  <c r="C192" i="85"/>
  <c r="C1439" i="85"/>
  <c r="C1426" i="85"/>
  <c r="C573" i="85"/>
  <c r="C1046" i="85"/>
  <c r="C773" i="85"/>
  <c r="C1825" i="85"/>
  <c r="C981" i="85"/>
  <c r="C1884" i="85"/>
  <c r="C1126" i="85"/>
  <c r="C468" i="85"/>
  <c r="C1037" i="85"/>
  <c r="C249" i="85"/>
  <c r="C1043" i="85"/>
  <c r="C320" i="85"/>
  <c r="C1259" i="85"/>
  <c r="C1029" i="85"/>
  <c r="C821" i="85"/>
  <c r="C523" i="85"/>
  <c r="C1762" i="85"/>
  <c r="C1023" i="85"/>
  <c r="C908" i="85"/>
  <c r="C1427" i="85"/>
  <c r="C86" i="85"/>
  <c r="C994" i="85"/>
  <c r="C1602" i="85"/>
  <c r="C343" i="85"/>
  <c r="C832" i="85"/>
  <c r="C862" i="85"/>
  <c r="C367" i="85"/>
  <c r="C660" i="85"/>
  <c r="C903" i="85"/>
  <c r="C321" i="85"/>
  <c r="C819" i="85"/>
  <c r="C620" i="85"/>
  <c r="C678" i="85"/>
  <c r="C295" i="85"/>
  <c r="C1436" i="85"/>
  <c r="C1453" i="85"/>
  <c r="C1606" i="85"/>
  <c r="C1052" i="85"/>
  <c r="C615" i="85"/>
  <c r="C850" i="85"/>
  <c r="C1695" i="85"/>
  <c r="C931" i="85"/>
  <c r="C723" i="85"/>
  <c r="C439" i="85"/>
  <c r="C763" i="85"/>
  <c r="C616" i="85"/>
  <c r="C303" i="85"/>
  <c r="C1614" i="85"/>
  <c r="C1860" i="85"/>
  <c r="C1525" i="85"/>
  <c r="C290" i="85"/>
  <c r="C1380" i="85"/>
  <c r="C1670" i="85"/>
  <c r="C1132" i="85"/>
  <c r="C714" i="85"/>
  <c r="C913" i="85"/>
  <c r="C518" i="85"/>
  <c r="C186" i="85"/>
  <c r="C788" i="85"/>
  <c r="C810" i="85"/>
  <c r="C1250" i="85"/>
  <c r="C1749" i="85"/>
  <c r="C484" i="85"/>
  <c r="C1509" i="85"/>
  <c r="C1799" i="85"/>
  <c r="C1638" i="85"/>
  <c r="C839" i="85"/>
  <c r="C624" i="85"/>
  <c r="C1434" i="85"/>
  <c r="C667" i="85"/>
  <c r="C61" i="85"/>
  <c r="C1950" i="85"/>
  <c r="C1415" i="85"/>
  <c r="C1467" i="85"/>
  <c r="C1178" i="85"/>
  <c r="C1558" i="85"/>
  <c r="C1450" i="85"/>
  <c r="C1518" i="85"/>
  <c r="C255" i="85"/>
  <c r="C250" i="85"/>
  <c r="C1775" i="85"/>
  <c r="C902" i="85"/>
  <c r="C1663" i="85"/>
  <c r="C831" i="85"/>
  <c r="C542" i="85"/>
  <c r="C1013" i="85"/>
  <c r="C669" i="85"/>
  <c r="C275" i="85"/>
  <c r="C69" i="85"/>
  <c r="C328" i="85"/>
  <c r="C350" i="85"/>
  <c r="C1929" i="85"/>
  <c r="C1640" i="85"/>
  <c r="C1893" i="85"/>
  <c r="C1863" i="85"/>
  <c r="C1922" i="85"/>
  <c r="C1280" i="85"/>
  <c r="C122" i="85"/>
  <c r="C715" i="85"/>
  <c r="C1913" i="85"/>
  <c r="C1668" i="85"/>
  <c r="C1570" i="85"/>
  <c r="C1513" i="85"/>
  <c r="C465" i="85"/>
  <c r="C843" i="85"/>
  <c r="C1000" i="85"/>
  <c r="C1511" i="85"/>
  <c r="C556" i="85"/>
  <c r="C679" i="85"/>
  <c r="C588" i="85"/>
  <c r="C1998" i="85"/>
  <c r="C975" i="85"/>
  <c r="C169" i="85"/>
  <c r="C1222" i="85"/>
  <c r="C725" i="85"/>
  <c r="C870" i="85"/>
  <c r="C1004" i="85"/>
  <c r="C1314" i="85"/>
  <c r="C1510" i="85"/>
  <c r="C982" i="85"/>
  <c r="C1507" i="85"/>
  <c r="C925" i="85"/>
  <c r="C424" i="85"/>
  <c r="C691" i="85"/>
  <c r="C1024" i="85"/>
  <c r="C939" i="85"/>
  <c r="C390" i="85"/>
  <c r="C434" i="85"/>
  <c r="C1763" i="85"/>
  <c r="C690" i="85"/>
  <c r="C1990" i="85"/>
  <c r="C1896" i="85"/>
  <c r="C781" i="85"/>
  <c r="C1870" i="85"/>
  <c r="C797" i="85"/>
  <c r="C1652" i="85"/>
  <c r="C1058" i="85"/>
  <c r="C601" i="85"/>
  <c r="C458" i="85"/>
  <c r="C656" i="85"/>
  <c r="C1017" i="85"/>
  <c r="C1579" i="85"/>
  <c r="C1750" i="85"/>
  <c r="C1864" i="85"/>
  <c r="C491" i="85"/>
  <c r="C948" i="85"/>
  <c r="C702" i="85"/>
  <c r="C1074" i="85"/>
  <c r="C1845" i="85"/>
  <c r="C229" i="85"/>
  <c r="C1423" i="85"/>
  <c r="C675" i="85"/>
  <c r="C886" i="85"/>
  <c r="C1608" i="85"/>
  <c r="C1829" i="85"/>
  <c r="C1247" i="85"/>
  <c r="C1560" i="85"/>
  <c r="C874" i="85"/>
  <c r="C1841" i="85"/>
  <c r="C836" i="85"/>
  <c r="C1918" i="85"/>
  <c r="C1966" i="85"/>
  <c r="C530" i="85"/>
  <c r="C1722" i="85"/>
  <c r="C1451" i="85"/>
  <c r="C1206" i="85"/>
  <c r="C244" i="85"/>
  <c r="C1399" i="85"/>
  <c r="C1599" i="85"/>
  <c r="C487" i="85"/>
  <c r="C1850" i="85"/>
  <c r="C1745" i="85"/>
  <c r="C1121" i="85"/>
  <c r="C639" i="85"/>
  <c r="C740" i="85"/>
  <c r="C1934" i="85"/>
  <c r="C786" i="85"/>
  <c r="C327" i="85"/>
  <c r="C1433" i="85"/>
  <c r="C1785" i="85"/>
  <c r="C1312" i="85"/>
  <c r="C381" i="85"/>
  <c r="C1278" i="85"/>
  <c r="C85" i="85"/>
  <c r="C598" i="85"/>
  <c r="C1617" i="85"/>
  <c r="C1741" i="85"/>
  <c r="C1859" i="85"/>
  <c r="C490" i="85"/>
  <c r="C92" i="85"/>
  <c r="C1793" i="85"/>
  <c r="C1898" i="85"/>
  <c r="C582" i="85"/>
  <c r="C1333" i="85"/>
  <c r="C937" i="85"/>
  <c r="C1343" i="85"/>
  <c r="C1848" i="85"/>
  <c r="C1787" i="85"/>
  <c r="C1541" i="85"/>
  <c r="C1044" i="85"/>
  <c r="C622" i="85"/>
  <c r="C1651" i="85"/>
  <c r="C1315" i="85"/>
  <c r="C481" i="85"/>
  <c r="C514" i="85"/>
  <c r="C727" i="85"/>
  <c r="C299" i="85"/>
  <c r="C47" i="85"/>
  <c r="C1461" i="85"/>
  <c r="C392" i="85"/>
  <c r="C973" i="85"/>
  <c r="C1707" i="85"/>
  <c r="C506" i="85"/>
  <c r="C1236" i="85"/>
  <c r="C1118" i="85"/>
  <c r="C1425" i="85"/>
  <c r="C647" i="85"/>
  <c r="C1873" i="85"/>
  <c r="C549" i="85"/>
  <c r="C1289" i="85"/>
  <c r="C1341" i="85"/>
  <c r="C1634" i="85"/>
  <c r="C1847" i="85"/>
  <c r="C1089" i="85"/>
  <c r="C1150" i="85"/>
  <c r="C963" i="85"/>
  <c r="C1002" i="85"/>
  <c r="C1245" i="85"/>
  <c r="C1274" i="85"/>
  <c r="C611" i="85"/>
  <c r="C1838" i="85"/>
  <c r="C1900" i="85"/>
  <c r="C682" i="85"/>
  <c r="C1989" i="85"/>
  <c r="C1595" i="85"/>
  <c r="C1296" i="85"/>
  <c r="C546" i="85"/>
  <c r="C1514" i="85"/>
  <c r="C62" i="85"/>
  <c r="C1276" i="85"/>
  <c r="C528" i="85"/>
  <c r="C783" i="85"/>
  <c r="C91" i="85"/>
  <c r="C596" i="85"/>
  <c r="C871" i="85"/>
  <c r="C641" i="85"/>
  <c r="C1820" i="85"/>
  <c r="C54" i="85"/>
  <c r="C1680" i="85"/>
  <c r="C1839" i="85"/>
  <c r="C717" i="85"/>
  <c r="C1508" i="85"/>
  <c r="C325" i="85"/>
  <c r="C200" i="85"/>
  <c r="C407" i="85"/>
  <c r="C436" i="85"/>
  <c r="C1721" i="85"/>
  <c r="C1490" i="85"/>
  <c r="C1200" i="85"/>
  <c r="C310" i="85"/>
  <c r="C1392" i="85"/>
  <c r="C366" i="85"/>
  <c r="C311" i="85"/>
  <c r="C536" i="85"/>
  <c r="C699" i="85"/>
  <c r="C1693" i="85"/>
  <c r="C222" i="85"/>
  <c r="C264" i="85"/>
  <c r="C791" i="85"/>
  <c r="C1224" i="85"/>
  <c r="C853" i="85"/>
  <c r="C1354" i="85"/>
  <c r="C1155" i="85"/>
  <c r="C1329" i="85"/>
  <c r="C938" i="85"/>
  <c r="C1536" i="85"/>
  <c r="C599" i="85"/>
  <c r="C1068" i="85"/>
  <c r="C719" i="85"/>
  <c r="C579" i="85"/>
  <c r="C1437" i="85"/>
  <c r="C883" i="85"/>
  <c r="C240" i="85"/>
  <c r="C272" i="85"/>
  <c r="C1382" i="85"/>
  <c r="C377" i="85"/>
  <c r="C1340" i="85"/>
  <c r="C742" i="85"/>
  <c r="C1556" i="85"/>
  <c r="C591" i="85"/>
  <c r="C1338" i="85"/>
  <c r="C566" i="85"/>
  <c r="C380" i="85"/>
  <c r="C1674" i="85"/>
  <c r="C1649" i="85"/>
  <c r="C1675" i="85"/>
  <c r="C594" i="85"/>
  <c r="C1957" i="85"/>
  <c r="C904" i="85"/>
  <c r="C1187" i="85"/>
  <c r="C1193" i="85"/>
  <c r="C1901" i="85"/>
  <c r="C974" i="85"/>
  <c r="C1737" i="85"/>
  <c r="C884" i="85"/>
  <c r="C1754" i="85"/>
  <c r="C319" i="85"/>
  <c r="C1471" i="85"/>
  <c r="C830" i="85"/>
  <c r="C867" i="85"/>
  <c r="C1725" i="85"/>
  <c r="C1053" i="85"/>
  <c r="C361" i="85"/>
  <c r="C917" i="85"/>
  <c r="C1585" i="85"/>
  <c r="C585" i="85"/>
  <c r="C1522" i="85"/>
  <c r="C537" i="85"/>
  <c r="C1265" i="85"/>
  <c r="C1716" i="85"/>
  <c r="C1532" i="85"/>
  <c r="C1835" i="85"/>
  <c r="C1097" i="85"/>
  <c r="C1326" i="85"/>
  <c r="C550" i="85"/>
  <c r="C1107" i="85"/>
  <c r="C668" i="85"/>
  <c r="C1201" i="85"/>
  <c r="C570" i="85"/>
  <c r="C577" i="85"/>
  <c r="C94" i="85"/>
  <c r="C170" i="85"/>
  <c r="C1054" i="85"/>
  <c r="C1088" i="85"/>
  <c r="C195" i="85"/>
  <c r="C865" i="85"/>
  <c r="C1331" i="85"/>
  <c r="C998" i="85"/>
  <c r="C861" i="85"/>
  <c r="C1447" i="85"/>
  <c r="C1051" i="85"/>
  <c r="C1657" i="85"/>
  <c r="C1591" i="85"/>
  <c r="C1099" i="85"/>
  <c r="C744" i="85"/>
  <c r="C1381" i="85"/>
  <c r="C228" i="85"/>
  <c r="C1271" i="85"/>
  <c r="C1531" i="85"/>
  <c r="C208" i="85"/>
  <c r="C858" i="85"/>
  <c r="C927" i="85"/>
  <c r="C467" i="85"/>
  <c r="C736" i="85"/>
  <c r="C798" i="85"/>
  <c r="C503" i="85"/>
  <c r="C1320" i="85"/>
  <c r="C476" i="85"/>
  <c r="C1334" i="85"/>
  <c r="C751" i="85"/>
  <c r="C1803" i="85"/>
  <c r="C1324" i="85"/>
  <c r="C1016" i="85"/>
  <c r="C764" i="85"/>
  <c r="C851" i="85"/>
  <c r="C787" i="85"/>
  <c r="C1660" i="85"/>
  <c r="C198" i="85"/>
  <c r="C435" i="85"/>
  <c r="C1886" i="85"/>
  <c r="C1303" i="85"/>
  <c r="C280" i="85"/>
  <c r="C777" i="85"/>
  <c r="C1682" i="85"/>
  <c r="C1904" i="85"/>
  <c r="C1527" i="85"/>
  <c r="C346" i="85"/>
  <c r="C1114" i="85"/>
  <c r="C406" i="85"/>
  <c r="C348" i="85"/>
  <c r="C1365" i="85"/>
  <c r="C1368" i="85"/>
  <c r="C895" i="85"/>
  <c r="C794" i="85"/>
  <c r="C1098" i="85"/>
  <c r="C302" i="85"/>
  <c r="C1301" i="85"/>
  <c r="C1818" i="85"/>
  <c r="C1789" i="85"/>
  <c r="C1757" i="85"/>
  <c r="C1336" i="85"/>
  <c r="C1196" i="85"/>
  <c r="C423" i="85"/>
  <c r="C1996" i="85"/>
  <c r="C1665" i="85"/>
  <c r="C1603" i="85"/>
  <c r="C889" i="85"/>
  <c r="C876" i="85"/>
  <c r="C567" i="85"/>
  <c r="C1484" i="85"/>
  <c r="C607" i="85"/>
  <c r="C1466" i="85"/>
  <c r="C221" i="85"/>
  <c r="C1761" i="85"/>
  <c r="C1992" i="85"/>
  <c r="C807" i="85"/>
  <c r="C778" i="85"/>
  <c r="C394" i="85"/>
  <c r="C365" i="85"/>
  <c r="C1594" i="85"/>
  <c r="C1022" i="85"/>
  <c r="C1607" i="85"/>
  <c r="C1786" i="85"/>
  <c r="C1772" i="85"/>
  <c r="C1568" i="85"/>
  <c r="C985" i="85"/>
  <c r="C1717" i="85"/>
  <c r="C1792" i="85"/>
  <c r="C48" i="85"/>
  <c r="C383" i="85"/>
  <c r="C1736" i="85"/>
  <c r="C1685" i="85"/>
  <c r="C387" i="85"/>
  <c r="C28" i="85"/>
  <c r="C1748" i="85"/>
  <c r="C1168" i="85"/>
  <c r="C1949" i="85"/>
  <c r="C1356" i="85"/>
  <c r="C53" i="85"/>
  <c r="C1463" i="85"/>
  <c r="C1081" i="85"/>
  <c r="C1082" i="85"/>
  <c r="C1404" i="85"/>
  <c r="C1407" i="85"/>
  <c r="C1198" i="85"/>
  <c r="C1731" i="85"/>
  <c r="C1239" i="85"/>
  <c r="C713" i="85"/>
  <c r="C1459" i="85"/>
  <c r="C911" i="85"/>
  <c r="C1293" i="85"/>
  <c r="C34" i="85"/>
  <c r="C1254" i="85"/>
  <c r="C1853" i="85"/>
  <c r="C427" i="85"/>
  <c r="C306" i="85"/>
  <c r="C929" i="85"/>
  <c r="C1375" i="85"/>
  <c r="C1268" i="85"/>
  <c r="C1933" i="85"/>
  <c r="C1758" i="85"/>
  <c r="C1770" i="85"/>
  <c r="C701" i="85"/>
  <c r="C1158" i="85"/>
  <c r="C248" i="85"/>
  <c r="C258" i="85"/>
  <c r="C1383" i="85"/>
  <c r="C1625" i="85"/>
  <c r="C1612" i="85"/>
  <c r="C1370" i="85"/>
  <c r="C1959" i="85"/>
  <c r="C1172" i="85"/>
  <c r="C425" i="85"/>
  <c r="C1516" i="85"/>
  <c r="C774" i="85"/>
  <c r="C509" i="85"/>
  <c r="C621" i="85"/>
  <c r="C1578" i="85"/>
  <c r="C35" i="85"/>
  <c r="C369" i="85"/>
  <c r="C1186" i="85"/>
  <c r="C559" i="85"/>
  <c r="C993" i="85"/>
  <c r="C558" i="85"/>
  <c r="C1269" i="85"/>
  <c r="C1909" i="85"/>
  <c r="C1152" i="85"/>
  <c r="C1127" i="85"/>
  <c r="C1039" i="85"/>
  <c r="C176" i="85"/>
  <c r="C446" i="85"/>
  <c r="C171" i="85"/>
  <c r="C983" i="85"/>
  <c r="C834" i="85"/>
  <c r="C1344" i="85"/>
  <c r="C741" i="85"/>
  <c r="C1061" i="85"/>
  <c r="C739" i="85"/>
  <c r="C960" i="85"/>
  <c r="C1816" i="85"/>
  <c r="C829" i="85"/>
  <c r="C375" i="85"/>
  <c r="C256" i="85"/>
  <c r="C1985" i="85"/>
  <c r="C265" i="85"/>
  <c r="C1767" i="85"/>
  <c r="C1255" i="85"/>
  <c r="C653" i="85"/>
  <c r="C893" i="85"/>
  <c r="C1629" i="85"/>
  <c r="C915" i="85"/>
  <c r="C655" i="85"/>
  <c r="C1832" i="85"/>
  <c r="C1580" i="85"/>
  <c r="C936" i="85"/>
  <c r="C987" i="85"/>
  <c r="C1242" i="85"/>
  <c r="C1036" i="85"/>
  <c r="C804" i="85"/>
  <c r="C1906" i="85"/>
  <c r="C42" i="85"/>
  <c r="C1572" i="85"/>
  <c r="C1041" i="85"/>
  <c r="C504" i="85"/>
  <c r="C511" i="85"/>
  <c r="C734" i="85"/>
  <c r="C1961" i="85"/>
  <c r="C1376" i="85"/>
  <c r="C1182" i="85"/>
  <c r="C339" i="85"/>
  <c r="C731" i="85"/>
  <c r="C1093" i="85"/>
  <c r="C942" i="85"/>
  <c r="C1593" i="85"/>
  <c r="C1216" i="85"/>
  <c r="C583" i="85"/>
  <c r="C1752" i="85"/>
  <c r="C1008" i="85"/>
  <c r="C234" i="85"/>
  <c r="C710" i="85"/>
  <c r="C890" i="85"/>
  <c r="C522" i="85"/>
  <c r="C1217" i="85"/>
  <c r="C210" i="85"/>
  <c r="C554" i="85"/>
  <c r="C1632" i="85"/>
  <c r="C813" i="85"/>
  <c r="C1779" i="85"/>
  <c r="C1888" i="85"/>
  <c r="C604" i="85"/>
  <c r="C1219" i="85"/>
  <c r="C1167" i="85"/>
  <c r="C1079" i="85"/>
  <c r="C1628" i="85"/>
  <c r="C1733" i="85"/>
  <c r="C225" i="85"/>
  <c r="C752" i="85"/>
  <c r="C443" i="85"/>
  <c r="C1078" i="85"/>
  <c r="C1788" i="85"/>
  <c r="C584" i="85"/>
  <c r="C1796" i="85"/>
  <c r="C1589" i="85"/>
  <c r="C52" i="85"/>
  <c r="C1869" i="85"/>
  <c r="C979" i="85"/>
  <c r="C1347" i="85"/>
  <c r="C497" i="85"/>
  <c r="C718" i="85"/>
  <c r="C1194" i="85"/>
  <c r="C494" i="85"/>
  <c r="C956" i="85"/>
  <c r="C1417" i="85"/>
  <c r="C1587" i="85"/>
  <c r="C1895" i="85"/>
  <c r="C1575" i="85"/>
  <c r="C1746" i="85"/>
  <c r="C1441" i="85"/>
  <c r="C695" i="85"/>
  <c r="C287" i="85"/>
  <c r="C1875" i="85"/>
  <c r="C576" i="85"/>
  <c r="C812" i="85"/>
  <c r="C1706" i="85"/>
  <c r="C1266" i="85"/>
  <c r="C1561" i="85"/>
  <c r="C1235" i="85"/>
  <c r="C278" i="85"/>
  <c r="C822" i="85"/>
  <c r="C43" i="85"/>
  <c r="C1473" i="85"/>
  <c r="C1045" i="85"/>
  <c r="C1410" i="85"/>
  <c r="C1551" i="85"/>
  <c r="C1621" i="85"/>
  <c r="C1661" i="85"/>
  <c r="C292" i="85"/>
  <c r="C1169" i="85"/>
  <c r="C609" i="85"/>
  <c r="C1408" i="85"/>
  <c r="C524" i="85"/>
  <c r="C610" i="85"/>
  <c r="C642" i="85"/>
  <c r="C724" i="85"/>
  <c r="C977" i="85"/>
  <c r="C1215" i="85"/>
  <c r="C928" i="85"/>
  <c r="C1571" i="85"/>
  <c r="C1583" i="85"/>
  <c r="C947" i="85"/>
  <c r="C966" i="85"/>
  <c r="C1223" i="85"/>
  <c r="C360" i="85"/>
  <c r="C571" i="85"/>
  <c r="C587" i="85"/>
  <c r="C818" i="85"/>
  <c r="C1564" i="85"/>
  <c r="C1592" i="85"/>
  <c r="C1270" i="85"/>
  <c r="C1287" i="85"/>
  <c r="C66" i="85"/>
  <c r="C747" i="85"/>
  <c r="C485" i="85"/>
  <c r="C1720" i="85"/>
  <c r="C1866" i="85"/>
  <c r="C531" i="85"/>
  <c r="C600" i="85"/>
  <c r="C293" i="85"/>
  <c r="C978" i="85"/>
  <c r="C273" i="85"/>
  <c r="C1790" i="85"/>
  <c r="C1454" i="85"/>
  <c r="C1938" i="85"/>
  <c r="C1176" i="85"/>
  <c r="C285" i="85"/>
  <c r="C1577" i="85"/>
  <c r="C1664" i="85"/>
  <c r="C1711" i="85"/>
  <c r="C754" i="85"/>
  <c r="C1528" i="85"/>
  <c r="C844" i="85"/>
  <c r="C820" i="85"/>
  <c r="C1624" i="85"/>
  <c r="C353" i="85"/>
  <c r="C217" i="85"/>
  <c r="C1846" i="85"/>
  <c r="C301" i="85"/>
  <c r="C190" i="85"/>
  <c r="C565" i="85"/>
  <c r="C1704" i="85"/>
  <c r="C991" i="85"/>
  <c r="C1506" i="85"/>
  <c r="C1273" i="85"/>
  <c r="C1148" i="85"/>
  <c r="C1234" i="85"/>
  <c r="C75" i="85"/>
  <c r="C1842" i="85"/>
  <c r="C1083" i="85"/>
  <c r="C1724" i="85"/>
  <c r="C1679" i="85"/>
  <c r="C1174" i="85"/>
  <c r="C212" i="85"/>
  <c r="C1582" i="85"/>
  <c r="C1308" i="85"/>
  <c r="C1179" i="85"/>
  <c r="C1753" i="85"/>
  <c r="C207" i="85"/>
  <c r="C1109" i="85"/>
  <c r="C1103" i="85"/>
  <c r="C1862" i="85"/>
  <c r="C1815" i="85"/>
  <c r="C322" i="85"/>
  <c r="C1233" i="85"/>
  <c r="C466" i="85"/>
  <c r="C512" i="85"/>
  <c r="C1042" i="85"/>
  <c r="C1540" i="85"/>
  <c r="C750" i="85"/>
  <c r="C510" i="85"/>
  <c r="C409" i="85"/>
  <c r="C498" i="85"/>
  <c r="C1419" i="85"/>
  <c r="C562" i="85"/>
  <c r="C541" i="85"/>
  <c r="C1225" i="85"/>
  <c r="C722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<sst xmlns="http://schemas.openxmlformats.org/spreadsheetml/2006/main" count="13556" uniqueCount="2423">
  <si>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</si>
  <si>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</si>
  <si>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</si>
  <si>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</si>
  <si>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</si>
  <si>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</si>
  <si>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</si>
  <si>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</si>
  <si>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</si>
  <si>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</si>
  <si>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</si>
  <si>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</si>
  <si>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</si>
  <si>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</si>
  <si>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</si>
  <si>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</si>
  <si>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</si>
  <si>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</si>
  <si>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</si>
  <si>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</si>
  <si>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</si>
  <si>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</si>
  <si>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</si>
  <si>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</si>
  <si>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</si>
  <si>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</si>
  <si>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</si>
  <si>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</si>
  <si>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</si>
  <si>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</si>
  <si>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</si>
  <si>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</si>
  <si>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</si>
  <si>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</si>
  <si>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</si>
  <si>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</si>
  <si>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</si>
  <si>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</si>
  <si>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</si>
  <si>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</si>
  <si>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</si>
  <si>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</si>
  <si>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</si>
  <si>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</si>
  <si>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</si>
  <si>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</si>
  <si>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</si>
  <si>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</si>
  <si>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</si>
  <si>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</si>
  <si>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</si>
  <si>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</si>
  <si>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</si>
  <si>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</si>
  <si>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</si>
  <si>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</si>
  <si>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</si>
  <si>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</si>
  <si>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</si>
  <si>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</si>
  <si>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</si>
  <si>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</si>
  <si>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</si>
  <si>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</si>
  <si>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</si>
  <si>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</si>
  <si>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</si>
  <si>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</si>
  <si>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</si>
  <si>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</si>
  <si>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</si>
  <si>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</si>
  <si>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</si>
  <si>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</si>
  <si>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</si>
  <si>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</si>
  <si>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</si>
  <si>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</si>
  <si>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</si>
  <si>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</si>
  <si>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</si>
  <si>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</si>
  <si>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</si>
  <si>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</si>
  <si>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</si>
  <si>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</si>
  <si>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</si>
  <si>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</si>
  <si>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</si>
  <si>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</si>
  <si>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</si>
  <si>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</si>
  <si>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</si>
  <si>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</si>
  <si>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</si>
  <si>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</si>
  <si>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</si>
  <si>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</si>
  <si>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</si>
  <si>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</si>
  <si>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</si>
  <si>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</si>
  <si>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</si>
  <si>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</si>
  <si>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</si>
  <si>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</si>
  <si>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</si>
  <si>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</si>
  <si>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</si>
  <si>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</si>
  <si>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</si>
  <si>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</si>
  <si>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</si>
  <si>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</si>
  <si>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</si>
  <si>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</si>
  <si>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</si>
  <si>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</si>
  <si>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</si>
  <si>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</si>
  <si>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</si>
  <si>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</si>
  <si>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</si>
  <si>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</si>
  <si>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</si>
  <si>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</si>
  <si>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</si>
  <si>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</si>
  <si>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</si>
  <si>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</si>
  <si>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</si>
  <si>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</si>
  <si>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</si>
  <si>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</si>
  <si>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</si>
  <si>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</si>
  <si>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</si>
  <si>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</si>
  <si>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</si>
  <si>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</si>
  <si>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</si>
  <si>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</si>
  <si>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</si>
  <si>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</si>
  <si>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</si>
  <si>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</si>
  <si>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</si>
  <si>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</si>
  <si>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</si>
  <si>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</si>
  <si>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</si>
  <si>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</si>
  <si>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</si>
  <si>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</si>
  <si>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</si>
  <si>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</si>
  <si>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</si>
  <si>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</si>
  <si>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</si>
  <si>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</si>
  <si>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</si>
  <si>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</si>
  <si>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</si>
  <si>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</si>
  <si>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</si>
  <si>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</si>
  <si>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</si>
  <si>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</si>
  <si>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</si>
  <si>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</si>
  <si>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</si>
  <si>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</si>
  <si>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</si>
  <si>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</si>
  <si>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</si>
  <si>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</si>
  <si>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</si>
  <si>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</si>
  <si>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</si>
  <si>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</si>
  <si>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</si>
  <si>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</si>
  <si>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</si>
  <si>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</si>
  <si>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</si>
  <si>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</si>
  <si>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</si>
  <si>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</si>
  <si>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</si>
  <si>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</si>
  <si>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</si>
  <si>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</si>
  <si>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</si>
  <si>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</si>
  <si>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</si>
  <si>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</si>
  <si>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</si>
  <si>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</si>
  <si>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</si>
  <si>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</si>
  <si>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</si>
  <si>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</si>
  <si>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</si>
  <si>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</si>
  <si>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</si>
  <si>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</si>
  <si>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</si>
  <si>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</si>
  <si>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</si>
  <si>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</si>
  <si>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</si>
  <si>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</si>
  <si>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</si>
  <si>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</si>
  <si>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</si>
  <si>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</si>
  <si>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</si>
  <si>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</si>
  <si>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</si>
  <si>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</si>
  <si>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</si>
  <si>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</si>
  <si>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</si>
  <si>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</si>
  <si>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</si>
  <si>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</si>
  <si>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</si>
  <si>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</si>
  <si>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</si>
  <si>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</si>
  <si>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</si>
  <si>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</si>
  <si>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</si>
  <si>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</si>
  <si>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</si>
  <si>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</si>
  <si>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</si>
  <si>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</si>
  <si>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</si>
  <si>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</si>
  <si>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</si>
  <si>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</si>
  <si>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</si>
  <si>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</si>
  <si>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</si>
  <si>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</si>
  <si>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</si>
  <si>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</si>
  <si>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</si>
  <si>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</si>
  <si>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</si>
  <si>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</si>
  <si>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</si>
  <si>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</si>
  <si>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</si>
  <si>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</si>
  <si>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</si>
  <si>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</si>
  <si>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</si>
  <si>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</si>
  <si>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</si>
  <si>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</si>
  <si>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</si>
  <si>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</si>
  <si>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</si>
  <si>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</si>
  <si>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</si>
  <si>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</si>
  <si>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</si>
  <si>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</si>
  <si>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</si>
  <si>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</si>
  <si>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</si>
  <si>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</si>
  <si>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</si>
  <si>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</si>
  <si>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</si>
  <si>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</si>
  <si>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</si>
  <si>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</si>
  <si>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</si>
  <si>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</si>
  <si>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</si>
  <si>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</si>
  <si>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</si>
  <si>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</si>
  <si>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</si>
  <si>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</si>
  <si>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</si>
  <si>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</si>
  <si>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</si>
  <si>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</si>
  <si>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</si>
  <si>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</si>
  <si>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</si>
  <si>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</si>
  <si>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</si>
  <si>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</si>
  <si>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</si>
  <si>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</si>
  <si>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</si>
  <si>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</si>
  <si>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</si>
  <si>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</si>
  <si>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</si>
  <si>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</si>
  <si>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</si>
  <si>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</si>
  <si>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</si>
  <si>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</si>
  <si>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</si>
  <si>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</si>
  <si>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</si>
  <si>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</si>
  <si>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</si>
  <si>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</si>
  <si>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</si>
  <si>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</si>
  <si>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</si>
  <si>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</si>
  <si>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</si>
  <si>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</si>
  <si>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</si>
  <si>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</si>
  <si>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</si>
  <si>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</si>
  <si>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</si>
  <si>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</si>
  <si>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</si>
  <si>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</si>
  <si>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</si>
  <si>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</si>
  <si>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</si>
  <si>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</si>
  <si>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</si>
  <si>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</si>
  <si>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</si>
  <si>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</si>
  <si>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</si>
  <si>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</si>
  <si>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</si>
  <si>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</si>
  <si>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</si>
  <si>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</si>
  <si>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</si>
  <si>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</si>
  <si>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</si>
  <si>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</si>
  <si>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</si>
  <si>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</si>
  <si>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</si>
  <si>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</si>
  <si>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</si>
  <si>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</si>
  <si>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</si>
  <si>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</si>
  <si>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</si>
  <si>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</si>
  <si>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</si>
  <si>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</si>
  <si>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</si>
  <si>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</si>
  <si>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</si>
  <si>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</si>
  <si>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</si>
  <si>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</si>
  <si>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</si>
  <si>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</si>
  <si>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</si>
  <si>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</si>
  <si>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</si>
  <si>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</si>
  <si>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</si>
  <si>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</si>
  <si>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</si>
  <si>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</si>
  <si>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</si>
  <si>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</si>
  <si>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</si>
  <si>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</si>
  <si>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</si>
  <si>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</si>
  <si>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</si>
  <si>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</si>
  <si>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</si>
  <si>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</si>
  <si>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</si>
  <si>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</si>
  <si>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</si>
  <si>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</si>
  <si>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</si>
  <si>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</si>
  <si>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</si>
  <si>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</si>
  <si>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</si>
  <si>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</si>
  <si>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</si>
  <si>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</si>
  <si>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</si>
  <si>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</si>
  <si>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</si>
  <si>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</si>
  <si>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</si>
  <si>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</si>
  <si>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</si>
  <si>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</si>
  <si>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</si>
  <si>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</si>
  <si>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</si>
  <si>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</si>
  <si>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</si>
  <si>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</si>
  <si>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</si>
  <si>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</si>
  <si>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</si>
  <si>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</si>
  <si>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</si>
  <si>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</si>
  <si>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</si>
  <si>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</si>
  <si>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</si>
  <si>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</si>
  <si>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</si>
  <si>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</si>
  <si>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</si>
  <si>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</si>
  <si>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</si>
  <si>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</si>
  <si>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</si>
  <si>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</si>
  <si>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</si>
  <si>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</si>
  <si>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</si>
  <si>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</si>
  <si>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</si>
  <si>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</si>
  <si>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</si>
  <si>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</si>
  <si>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</si>
  <si>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</si>
  <si>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</si>
  <si>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</si>
  <si>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</si>
  <si>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</si>
  <si>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</si>
  <si>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</si>
  <si>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</si>
  <si>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</si>
  <si>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</si>
  <si>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</si>
  <si>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</si>
  <si>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</si>
  <si>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</si>
  <si>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</si>
  <si>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</si>
  <si>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</si>
  <si>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</si>
  <si>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</si>
  <si>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</si>
  <si>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</si>
  <si>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</si>
  <si>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</si>
  <si>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</si>
  <si>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</si>
  <si>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</si>
  <si>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</si>
  <si>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</si>
  <si>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</si>
  <si>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</si>
  <si>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</si>
  <si>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</si>
  <si>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</si>
  <si>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</si>
  <si>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</si>
  <si>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</si>
  <si>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</si>
  <si>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</si>
  <si>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</si>
  <si>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</si>
  <si>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</si>
  <si>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</si>
  <si>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</si>
  <si>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</si>
  <si>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</si>
  <si>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</si>
  <si>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</si>
  <si>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</si>
  <si>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</si>
  <si>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</si>
  <si>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</si>
  <si>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</si>
  <si>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</si>
  <si>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</si>
  <si>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</si>
  <si>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</si>
  <si>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</si>
  <si>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</si>
  <si>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</si>
  <si>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</si>
  <si>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</si>
  <si>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</si>
  <si>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</si>
  <si>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</si>
  <si>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</si>
  <si>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</si>
  <si>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</si>
  <si>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</si>
  <si>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</si>
  <si>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</si>
  <si>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</si>
  <si>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</si>
  <si>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</si>
  <si>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</si>
  <si>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</si>
  <si>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</si>
  <si>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</si>
  <si>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</si>
  <si>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</si>
  <si>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</si>
  <si>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</si>
  <si>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</si>
  <si>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</si>
  <si>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</si>
  <si>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</si>
  <si>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</si>
  <si>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</si>
  <si>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</si>
  <si>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</si>
  <si>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</si>
  <si>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</si>
  <si>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</si>
  <si>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</si>
  <si>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</si>
  <si>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</si>
  <si>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</si>
  <si>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</si>
  <si>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</si>
  <si>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</si>
  <si>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</si>
  <si>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</si>
  <si>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</si>
  <si>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</si>
  <si>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</si>
  <si>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</si>
  <si>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</si>
  <si>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</si>
  <si>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</si>
  <si>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</si>
  <si>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</si>
  <si>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</si>
  <si>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</si>
  <si>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</si>
  <si>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</si>
  <si>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</si>
  <si>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</si>
  <si>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</si>
  <si>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</si>
  <si>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</si>
  <si>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</si>
  <si>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</si>
  <si>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</si>
  <si>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</si>
  <si>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</si>
  <si>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</si>
  <si>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</si>
  <si>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</si>
  <si>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</si>
  <si>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</si>
  <si>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</si>
  <si>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</si>
  <si>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</si>
  <si>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</si>
  <si>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</si>
  <si>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</si>
  <si>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</si>
  <si>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</si>
  <si>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</si>
  <si>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</si>
  <si>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</si>
  <si>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</si>
  <si>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</si>
  <si>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</si>
  <si>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</si>
  <si>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</si>
  <si>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</si>
  <si>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</si>
  <si>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</si>
  <si>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</si>
  <si>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</si>
  <si>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</si>
  <si>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</si>
  <si>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</si>
  <si>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</si>
  <si>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</si>
  <si>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</si>
  <si>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</si>
  <si>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</si>
  <si>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</si>
  <si>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</si>
  <si>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</si>
  <si>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</si>
  <si>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</si>
  <si>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</si>
  <si>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</si>
  <si>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</si>
  <si>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</si>
  <si>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</si>
  <si>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</si>
  <si>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</si>
  <si>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</si>
  <si>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</si>
  <si>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</si>
  <si>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</si>
  <si>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</si>
  <si>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</si>
  <si>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</si>
  <si>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</si>
  <si>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</si>
  <si>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</si>
  <si>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</si>
  <si>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</si>
  <si>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</si>
  <si>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</si>
  <si>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</si>
  <si>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</si>
  <si>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</si>
  <si>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</si>
  <si>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</si>
  <si>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</si>
  <si>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</si>
  <si>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</si>
  <si>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</si>
  <si>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</si>
  <si>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</si>
  <si>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</si>
  <si>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</si>
  <si>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</si>
  <si>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</si>
  <si>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</si>
  <si>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</si>
  <si>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</si>
  <si>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</si>
  <si>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</si>
  <si>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</si>
  <si>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</si>
  <si>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</si>
  <si>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</si>
  <si>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</si>
  <si>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</si>
  <si>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</si>
  <si>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</si>
  <si>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</si>
  <si>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</si>
  <si>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</si>
  <si>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</si>
  <si>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</si>
  <si>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</si>
  <si>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</si>
  <si>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</si>
  <si>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</si>
  <si>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</si>
  <si>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</si>
  <si>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</si>
  <si>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</si>
  <si>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</si>
  <si>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</si>
  <si>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</si>
  <si>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</si>
  <si>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</si>
  <si>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</si>
  <si>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</si>
  <si>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</si>
  <si>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</si>
  <si>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</si>
  <si>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</si>
  <si>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</si>
  <si>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</si>
  <si>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</si>
  <si>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</si>
  <si>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</si>
  <si>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</si>
  <si>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</si>
  <si>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</si>
  <si>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</si>
  <si>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</si>
  <si>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</si>
  <si>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</si>
  <si>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</si>
  <si>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</si>
  <si>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</si>
  <si>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</si>
  <si>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</si>
  <si>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</si>
  <si>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</si>
  <si>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</si>
  <si>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</si>
  <si>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</si>
  <si>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</si>
  <si>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</si>
  <si>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</si>
  <si>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</si>
  <si>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</si>
  <si>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</si>
  <si>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</si>
  <si>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</si>
  <si>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</si>
  <si>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</si>
  <si>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</si>
  <si>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</si>
  <si>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</si>
  <si>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</si>
  <si>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</si>
  <si>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</si>
  <si>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</si>
  <si>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</si>
  <si>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</si>
  <si>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</si>
  <si>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</si>
  <si>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</si>
  <si>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</si>
  <si>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</si>
  <si>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</si>
  <si>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</si>
  <si>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</si>
  <si>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</si>
  <si>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</si>
  <si>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</si>
  <si>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</si>
  <si>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</si>
  <si>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</si>
  <si>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</si>
  <si>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</si>
  <si>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</si>
  <si>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</si>
  <si>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</si>
  <si>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</si>
  <si>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</si>
  <si>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</si>
  <si>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</si>
  <si>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</si>
  <si>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</si>
  <si>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</si>
  <si>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</si>
  <si>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</si>
  <si>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</si>
  <si>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</si>
  <si>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</si>
  <si>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</si>
  <si>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</si>
  <si>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</si>
  <si>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</si>
  <si>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</si>
  <si>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</si>
  <si>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</si>
  <si>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</si>
  <si>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</si>
  <si>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</si>
  <si>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</si>
  <si>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</si>
  <si>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</si>
  <si>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</si>
  <si>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</si>
  <si>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</si>
  <si>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</si>
  <si>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</si>
  <si>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</si>
  <si>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</si>
  <si>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</si>
  <si>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</si>
  <si>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</si>
  <si>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</si>
  <si>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</si>
  <si>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</si>
  <si>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</si>
  <si>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</si>
  <si>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</si>
  <si>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</si>
  <si>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</si>
  <si>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</si>
  <si>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</si>
  <si>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</si>
  <si>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</si>
  <si>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</si>
  <si>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</si>
  <si>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</si>
  <si>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</si>
  <si>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</si>
  <si>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</si>
  <si>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</si>
  <si>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</si>
  <si>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</si>
  <si>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</si>
  <si>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</si>
  <si>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</si>
  <si>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</si>
  <si>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</si>
  <si>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</si>
  <si>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</si>
  <si>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</si>
  <si>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</si>
  <si>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</si>
  <si>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</si>
  <si>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</si>
  <si>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</si>
  <si>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</si>
  <si>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</si>
  <si>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</si>
  <si>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</si>
  <si>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</si>
  <si>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</si>
  <si>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</si>
  <si>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</si>
  <si>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</si>
  <si>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</si>
  <si>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</si>
  <si>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</si>
  <si>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</si>
  <si>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</si>
  <si>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</si>
  <si>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</si>
  <si>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</si>
  <si>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</si>
  <si>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</si>
  <si>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</si>
  <si>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</si>
  <si>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</si>
  <si>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</si>
  <si>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</si>
  <si>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</si>
  <si>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</si>
  <si>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</si>
  <si>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</si>
  <si>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</si>
  <si>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</si>
  <si>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</si>
  <si>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</si>
  <si>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</si>
  <si>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</si>
  <si>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</si>
  <si>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</si>
  <si>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</si>
  <si>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</si>
  <si>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</si>
  <si>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</si>
  <si>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</si>
  <si>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</si>
  <si>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</si>
  <si>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</si>
  <si>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</si>
  <si>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</si>
  <si>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</si>
  <si>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</si>
  <si>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</si>
  <si>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</si>
  <si>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</si>
  <si>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</si>
  <si>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</si>
  <si>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</si>
  <si>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</si>
  <si>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</si>
  <si>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</si>
  <si>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</si>
  <si>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</si>
  <si>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</si>
  <si>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</si>
  <si>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</si>
  <si>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</si>
  <si>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</si>
  <si>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</si>
  <si>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</si>
  <si>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</si>
  <si>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</si>
  <si>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</si>
  <si>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</si>
  <si>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</si>
  <si>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</si>
  <si>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</si>
  <si>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</si>
  <si>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</si>
  <si>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</si>
  <si>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</si>
  <si>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</si>
  <si>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</si>
  <si>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</si>
  <si>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</si>
  <si>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</si>
  <si>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</si>
  <si>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</si>
  <si>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</si>
  <si>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</si>
  <si>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</si>
  <si>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</si>
  <si>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</si>
  <si>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</si>
  <si>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</si>
  <si>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</si>
  <si>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</si>
  <si>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</si>
  <si>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</si>
  <si>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</si>
  <si>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</si>
  <si>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</si>
  <si>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</si>
  <si>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</si>
  <si>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</si>
  <si>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</si>
  <si>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</si>
  <si>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</si>
  <si>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</si>
  <si>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</si>
  <si>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</si>
  <si>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</si>
  <si>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</si>
  <si>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</si>
  <si>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</si>
  <si>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</si>
  <si>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</si>
  <si>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</si>
  <si>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</si>
  <si>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</si>
  <si>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</si>
  <si>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</si>
  <si>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</si>
  <si>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</si>
  <si>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</si>
  <si>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</si>
  <si>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</si>
  <si>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</si>
  <si>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</si>
  <si>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</si>
  <si>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</si>
  <si>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</si>
  <si>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</si>
  <si>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</si>
  <si>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</si>
  <si>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</si>
  <si>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</si>
  <si>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</si>
  <si>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</si>
  <si>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</si>
  <si>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</si>
  <si>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</si>
  <si>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</si>
  <si>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</si>
  <si>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</si>
  <si>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</si>
  <si>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</si>
  <si>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</si>
  <si>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</si>
  <si>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</si>
  <si>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</si>
  <si>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</si>
  <si>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</si>
  <si>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</si>
  <si>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</si>
  <si>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</si>
  <si>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</si>
  <si>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</si>
  <si>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</si>
  <si>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</si>
  <si>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</si>
  <si>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</si>
  <si>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</si>
  <si>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</si>
  <si>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</si>
  <si>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</si>
  <si>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</si>
  <si>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</si>
  <si>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</si>
  <si>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</si>
  <si>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</si>
  <si>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</si>
  <si>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</si>
  <si>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</si>
  <si>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</si>
  <si>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</si>
  <si>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</si>
  <si>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</si>
  <si>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</si>
  <si>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</si>
  <si>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</si>
  <si>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</si>
  <si>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</si>
  <si>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</si>
  <si>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</si>
  <si>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</si>
  <si>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</si>
  <si>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</si>
  <si>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</si>
  <si>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</si>
  <si>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</si>
  <si>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</si>
  <si>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</si>
  <si>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</si>
  <si>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</si>
  <si>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</si>
  <si>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</si>
  <si>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</si>
  <si>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</si>
  <si>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</si>
  <si>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</si>
  <si>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</si>
  <si>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</si>
  <si>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</si>
  <si>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</si>
  <si>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</si>
  <si>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</si>
  <si>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</si>
  <si>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</si>
  <si>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</si>
  <si>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</si>
  <si>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</si>
  <si>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</si>
  <si>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</si>
  <si>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</si>
  <si>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</si>
  <si>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</si>
  <si>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</si>
  <si>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</si>
  <si>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</si>
  <si>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</si>
  <si>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</si>
  <si>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</si>
  <si>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</si>
  <si>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</si>
  <si>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</si>
  <si>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</si>
  <si>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</si>
  <si>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</si>
  <si>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</si>
  <si>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</si>
  <si>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</si>
  <si>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</si>
  <si>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</si>
  <si>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</si>
  <si>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</si>
  <si>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</si>
  <si>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</si>
  <si>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</si>
  <si>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</si>
  <si>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</si>
  <si>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</si>
  <si>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</si>
  <si>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</si>
  <si>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</si>
  <si>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</si>
  <si>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</si>
  <si>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</si>
  <si>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</si>
  <si>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</si>
  <si>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</si>
  <si>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</si>
  <si>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</si>
  <si>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</si>
  <si>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</si>
  <si>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</si>
  <si>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</si>
  <si>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</si>
  <si>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</si>
  <si>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</si>
  <si>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</si>
  <si>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</si>
  <si>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</si>
  <si>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</si>
  <si>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</si>
  <si>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</si>
  <si>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</si>
  <si>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</si>
  <si>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</si>
  <si>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</si>
  <si>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</si>
  <si>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</si>
  <si>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</si>
  <si>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</si>
  <si>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</si>
  <si>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</si>
  <si>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</si>
  <si>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</si>
  <si>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</si>
  <si>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</si>
  <si>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</si>
  <si>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</si>
  <si>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</si>
  <si>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</si>
  <si>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</si>
  <si>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</si>
  <si>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</si>
  <si>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</si>
  <si>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</si>
  <si>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</si>
  <si>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</si>
  <si>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</si>
  <si>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</si>
  <si>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</si>
  <si>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</si>
  <si>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</si>
  <si>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</si>
  <si>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</si>
  <si>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</si>
  <si>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</si>
  <si>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</si>
  <si>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</si>
  <si>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</si>
  <si>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</si>
  <si>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</si>
  <si>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</si>
  <si>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</si>
  <si>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</si>
  <si>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</si>
  <si>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</si>
  <si>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</si>
  <si>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</si>
  <si>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</si>
  <si>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</si>
  <si>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</si>
  <si>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</si>
  <si>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</si>
  <si>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</si>
  <si>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</si>
  <si>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</si>
  <si>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</si>
  <si>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</si>
  <si>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</si>
  <si>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</si>
  <si>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</si>
  <si>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</si>
  <si>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</si>
  <si>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</si>
  <si>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</si>
  <si>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</si>
  <si>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</si>
  <si>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</si>
  <si>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</si>
  <si>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</si>
  <si>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</si>
  <si>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</si>
  <si>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</si>
  <si>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</si>
  <si>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</si>
  <si>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</si>
  <si>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</si>
  <si>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</si>
  <si>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</si>
  <si>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</si>
  <si>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</si>
  <si>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</si>
  <si>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</si>
  <si>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</si>
  <si>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</si>
  <si>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</si>
  <si>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</si>
  <si>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</si>
  <si>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</si>
  <si>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</si>
  <si>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</si>
  <si>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</si>
  <si>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</si>
  <si>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</si>
  <si>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</si>
  <si>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</si>
  <si>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</si>
  <si>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</si>
  <si>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</si>
  <si>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</si>
  <si>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</si>
  <si>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</si>
  <si>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</si>
  <si>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</si>
  <si>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</si>
  <si>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</si>
  <si>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</si>
  <si>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</si>
  <si>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</si>
  <si>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</si>
  <si>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</si>
  <si>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</si>
  <si>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</si>
  <si>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</si>
  <si>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</si>
  <si>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</si>
  <si>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</si>
  <si>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</si>
  <si>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</si>
  <si>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</si>
  <si>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</si>
  <si>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</si>
  <si>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</si>
  <si>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</si>
  <si>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</si>
  <si>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</si>
  <si>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</si>
  <si>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</si>
  <si>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</si>
  <si>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</si>
  <si>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</si>
  <si>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</si>
  <si>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</si>
  <si>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</si>
  <si>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</si>
  <si>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</si>
  <si>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</si>
  <si>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</si>
  <si>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</si>
  <si>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</si>
  <si>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</si>
  <si>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</si>
  <si>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</si>
  <si>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</si>
  <si>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</si>
  <si>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</si>
  <si>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</si>
  <si>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</si>
  <si>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</si>
  <si>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</si>
  <si>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</si>
  <si>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</si>
  <si>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</si>
  <si>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</si>
  <si>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</si>
  <si>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</si>
  <si>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</si>
  <si>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</si>
  <si>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</si>
  <si>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</si>
  <si>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</si>
  <si>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</si>
  <si>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</si>
  <si>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</si>
  <si>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</si>
  <si>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</si>
  <si>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</si>
  <si>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</si>
  <si>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</si>
  <si>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</si>
  <si>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</si>
  <si>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</si>
  <si>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</si>
  <si>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</si>
  <si>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</si>
  <si>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</si>
  <si>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</si>
  <si>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</si>
  <si>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</si>
  <si>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</si>
  <si>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</si>
  <si>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</si>
  <si>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</si>
  <si>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</si>
  <si>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</si>
  <si>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</si>
  <si>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</si>
  <si>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</si>
  <si>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</si>
  <si>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</si>
  <si>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</si>
  <si>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</si>
  <si>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</si>
  <si>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</si>
  <si>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</si>
  <si>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</si>
  <si>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</si>
  <si>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</si>
  <si>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</si>
  <si>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</si>
  <si>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</si>
  <si>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</si>
  <si>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</si>
  <si>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</si>
  <si>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</si>
  <si>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</si>
  <si>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</si>
  <si>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</si>
  <si>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</si>
  <si>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</si>
  <si>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</si>
  <si>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</si>
  <si>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</si>
  <si>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</si>
  <si>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</si>
  <si>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</si>
  <si>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</si>
  <si>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</si>
  <si>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</si>
  <si>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</si>
  <si>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</si>
  <si>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</si>
  <si>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</si>
  <si>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</si>
  <si>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</si>
  <si>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</si>
  <si>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</si>
  <si>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</si>
  <si>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</si>
  <si>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</si>
  <si>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</si>
  <si>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</si>
  <si>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</si>
  <si>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</si>
  <si>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</si>
  <si>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</si>
  <si>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</si>
  <si>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</si>
  <si>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</si>
  <si>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</si>
  <si>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</si>
  <si>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</si>
  <si>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</si>
  <si>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</si>
  <si>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</si>
  <si>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</si>
  <si>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</si>
  <si>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</si>
  <si>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</si>
  <si>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</si>
  <si>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</si>
  <si>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</si>
  <si>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</si>
  <si>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</si>
  <si>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</si>
  <si>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</si>
  <si>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</si>
  <si>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</si>
  <si>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</si>
  <si>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</si>
  <si>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</si>
  <si>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</si>
  <si>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</si>
  <si>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</si>
  <si>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</si>
  <si>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</si>
  <si>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</si>
  <si>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</si>
  <si>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</si>
  <si>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</si>
  <si>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</si>
  <si>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</si>
  <si>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</si>
  <si>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</si>
  <si>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</si>
  <si>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</si>
  <si>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</si>
  <si>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</si>
  <si>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</si>
  <si>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</si>
  <si>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</si>
  <si>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</si>
  <si>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</si>
  <si>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</si>
  <si>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</si>
  <si>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</si>
  <si>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</si>
  <si>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</si>
  <si>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</si>
  <si>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</si>
  <si>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</si>
  <si>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</si>
  <si>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</si>
  <si>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</si>
  <si>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</si>
  <si>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</si>
  <si>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</si>
  <si>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</si>
  <si>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</si>
  <si>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</si>
  <si>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</si>
  <si>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</si>
  <si>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</si>
  <si>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</si>
  <si>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</si>
  <si>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</si>
  <si>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</si>
  <si>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</si>
  <si>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</si>
  <si>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</si>
  <si>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</si>
  <si>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</si>
  <si>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</si>
  <si>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</si>
  <si>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</si>
  <si>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</si>
  <si>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</si>
  <si>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</si>
  <si>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</si>
  <si>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</si>
  <si>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</si>
  <si>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</si>
  <si>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</si>
  <si>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</si>
  <si>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</si>
  <si>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</si>
  <si>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</si>
  <si>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</si>
  <si>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</si>
  <si>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</si>
  <si>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</si>
  <si>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</si>
  <si>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</si>
  <si>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</si>
  <si>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</si>
  <si>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</si>
  <si>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</si>
  <si>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</si>
  <si>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</si>
  <si>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</si>
  <si>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</si>
  <si>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</si>
  <si>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</si>
  <si>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</si>
  <si>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</si>
  <si>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</si>
  <si>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</si>
  <si>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</si>
  <si>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</si>
  <si>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</si>
  <si>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</si>
  <si>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</si>
  <si>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</si>
  <si>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</si>
  <si>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</si>
  <si>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</si>
  <si>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</si>
  <si>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</si>
  <si>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</si>
  <si>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</si>
  <si>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</si>
  <si>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</si>
  <si>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</si>
  <si>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</si>
  <si>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</si>
  <si>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</si>
  <si>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</si>
  <si>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</si>
  <si>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</si>
  <si>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</si>
  <si>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</si>
  <si>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</si>
  <si>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</si>
  <si>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</si>
  <si>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</si>
  <si>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</si>
  <si>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</si>
  <si>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</si>
  <si>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</si>
  <si>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</si>
  <si>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</si>
  <si>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</si>
  <si>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</si>
  <si>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</si>
  <si>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</si>
  <si>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</si>
  <si>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</si>
  <si>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</si>
  <si>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</si>
  <si>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</si>
  <si>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</si>
  <si>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</si>
  <si>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</si>
  <si>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</si>
  <si>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</si>
  <si>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</si>
  <si>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</si>
  <si>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</si>
  <si>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</si>
  <si>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</si>
  <si>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</si>
  <si>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</si>
  <si>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</si>
  <si>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</si>
  <si>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</si>
  <si>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</si>
  <si>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</si>
  <si>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</si>
  <si>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</si>
  <si>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</si>
  <si>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</si>
  <si>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</si>
  <si>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</si>
  <si>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</si>
  <si>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</si>
  <si>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</si>
  <si>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</si>
  <si>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</si>
  <si>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</si>
  <si>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</si>
  <si>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</si>
  <si>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</si>
  <si>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</si>
  <si>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</si>
  <si>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</si>
  <si>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</si>
  <si>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</si>
  <si>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</si>
  <si>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</si>
  <si>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</si>
  <si>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</si>
  <si>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</si>
  <si>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</si>
  <si>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</si>
  <si>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</si>
  <si>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</si>
  <si>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</si>
  <si>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</si>
  <si>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</si>
  <si>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</si>
  <si>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</si>
  <si>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</si>
  <si>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</si>
  <si>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</si>
  <si>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</si>
  <si>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</si>
  <si>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</si>
  <si>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</si>
  <si>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</si>
  <si>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</si>
  <si>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</si>
  <si>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</si>
  <si>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</si>
  <si>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</si>
  <si>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</si>
  <si>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</si>
  <si>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</si>
  <si>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</si>
  <si>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</si>
  <si>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</si>
  <si>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</si>
  <si>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</si>
  <si>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</si>
  <si>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</si>
  <si>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</si>
  <si>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</si>
  <si>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</si>
  <si>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</si>
  <si>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</si>
  <si>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</si>
  <si>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</si>
  <si>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</si>
  <si>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</si>
  <si>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</si>
  <si>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</si>
  <si>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</si>
  <si>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</si>
  <si>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</si>
  <si>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</si>
  <si>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</si>
  <si>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</si>
  <si>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</si>
  <si>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</si>
  <si>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</si>
  <si>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</si>
  <si>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</si>
  <si>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</si>
  <si>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</si>
  <si>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</si>
  <si>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</si>
  <si>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</si>
  <si>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</si>
  <si>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</si>
  <si>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</si>
  <si>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</si>
  <si>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</si>
  <si>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</si>
  <si>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</si>
  <si>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</si>
  <si>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</si>
  <si>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</si>
  <si>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</si>
  <si>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</si>
  <si>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</si>
  <si>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</si>
  <si>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</si>
  <si>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</si>
  <si>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</si>
  <si>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</si>
  <si>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</si>
  <si>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</si>
  <si>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</si>
  <si>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</si>
  <si>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</si>
  <si>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</si>
  <si>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</si>
  <si>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</si>
  <si>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</si>
  <si>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</si>
  <si>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</si>
  <si>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</si>
  <si>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</si>
  <si>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</si>
  <si>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</si>
  <si>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</si>
  <si>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</si>
  <si>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</si>
  <si>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</si>
  <si>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</si>
  <si>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</si>
  <si>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</si>
  <si>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</si>
  <si>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</si>
  <si>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</si>
  <si>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</si>
  <si>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</si>
  <si>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</si>
  <si>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</si>
  <si>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</si>
  <si>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</si>
  <si>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</si>
  <si>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</si>
  <si>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</si>
  <si>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</si>
  <si>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</si>
  <si>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</si>
  <si>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</si>
  <si>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</si>
  <si>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</si>
  <si>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</si>
  <si>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</si>
  <si>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</si>
  <si>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</si>
  <si>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</si>
  <si>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</si>
  <si>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</si>
  <si>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</si>
  <si>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</si>
  <si>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</si>
  <si>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</si>
  <si>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</si>
  <si>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</si>
  <si>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</si>
  <si>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</si>
  <si>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</si>
  <si>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</si>
  <si>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</si>
  <si>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</si>
  <si>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</si>
  <si>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</si>
  <si>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</si>
  <si>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</si>
  <si>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</si>
  <si>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</si>
  <si>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</si>
  <si>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</si>
  <si>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</si>
  <si>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</si>
  <si>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</si>
  <si>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</si>
  <si>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</si>
  <si>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</si>
  <si>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</si>
  <si>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</si>
  <si>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</si>
  <si>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</si>
  <si>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</si>
  <si>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</si>
  <si>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</si>
  <si>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</si>
  <si>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</si>
  <si>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</si>
  <si>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</si>
  <si>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</si>
  <si>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</si>
  <si>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</si>
  <si>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</si>
  <si>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</si>
  <si>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</si>
  <si>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</si>
  <si>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</si>
  <si>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</si>
  <si>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</si>
  <si>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</si>
  <si>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</si>
  <si>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</si>
  <si>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</si>
  <si>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</si>
  <si>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</si>
  <si>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</si>
  <si>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</si>
  <si>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</si>
  <si>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</si>
  <si>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</si>
  <si>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</si>
  <si>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</si>
  <si>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</si>
  <si>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</si>
  <si>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</si>
  <si>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</si>
  <si>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</si>
  <si>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</si>
  <si>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</si>
  <si>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</si>
  <si>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</si>
  <si>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</si>
  <si>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</si>
  <si>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</si>
  <si>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</si>
  <si>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</si>
  <si>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</si>
  <si>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</si>
  <si>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</si>
  <si>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</si>
  <si>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</si>
  <si>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</si>
  <si>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</si>
  <si>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</si>
  <si>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</si>
  <si>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</si>
  <si>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</si>
  <si>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</si>
  <si>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</si>
  <si>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</si>
  <si>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</si>
  <si>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</si>
  <si>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</si>
  <si>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</si>
  <si>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</si>
  <si>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</si>
  <si>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</si>
  <si>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</si>
  <si>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</si>
  <si>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</si>
  <si>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</si>
  <si>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</si>
  <si>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</si>
  <si>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</si>
  <si>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</si>
  <si>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</si>
  <si>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</si>
  <si>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</si>
  <si>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</si>
  <si>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</si>
  <si>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</si>
  <si>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</si>
  <si>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</si>
  <si>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</si>
  <si>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</si>
  <si>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</si>
  <si>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</si>
  <si>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</si>
  <si>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</si>
  <si>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</si>
  <si>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</si>
  <si>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</si>
  <si>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</si>
  <si>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</si>
  <si>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</si>
  <si>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</si>
  <si>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</si>
  <si>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</si>
  <si>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</si>
  <si>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</si>
  <si>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</si>
  <si>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</si>
  <si>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</si>
  <si>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</si>
  <si>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</si>
  <si>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</si>
  <si>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</si>
  <si>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</si>
  <si>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</si>
  <si>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</si>
  <si>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</si>
  <si>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</si>
  <si>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</si>
  <si>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</si>
  <si>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</si>
  <si>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</si>
  <si>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</si>
  <si>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</si>
  <si>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</si>
  <si>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</si>
  <si>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</si>
  <si>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</si>
  <si>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</si>
  <si>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</si>
  <si>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</si>
  <si>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</si>
  <si>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</si>
  <si>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</si>
  <si>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</si>
  <si>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</si>
  <si>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</si>
  <si>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</si>
  <si>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</si>
  <si>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</si>
  <si>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</si>
  <si>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</si>
  <si>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</si>
  <si>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</si>
  <si>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</si>
  <si>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</si>
  <si>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</si>
  <si>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</si>
  <si>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</si>
  <si>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</si>
  <si>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</si>
  <si>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</si>
  <si>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</si>
  <si>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</si>
  <si>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</si>
  <si>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</si>
  <si>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</si>
  <si>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</si>
  <si>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</si>
  <si>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</si>
  <si>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</si>
  <si>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</si>
  <si>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</si>
  <si>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</si>
  <si>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</si>
  <si>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</si>
  <si>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</si>
  <si>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</si>
  <si>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</si>
  <si>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</si>
  <si>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</si>
  <si>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</si>
  <si>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</si>
  <si>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</si>
  <si>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</si>
  <si>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</si>
  <si>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</si>
  <si>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</si>
  <si>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</si>
  <si>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</si>
  <si>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</si>
  <si>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</si>
  <si>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</si>
  <si>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</si>
  <si>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</si>
  <si>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</si>
  <si>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</si>
  <si>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</si>
  <si>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</si>
  <si>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</si>
  <si>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</si>
  <si>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</si>
  <si>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</si>
  <si>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</si>
  <si>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</si>
  <si>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</si>
  <si>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</si>
  <si>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</si>
  <si>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</si>
  <si>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</si>
  <si>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</si>
  <si>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</si>
  <si>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</si>
  <si>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</si>
  <si>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</si>
  <si>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</si>
  <si>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</si>
  <si>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</si>
  <si>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</si>
  <si>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</si>
  <si>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</si>
  <si>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</si>
  <si>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</si>
  <si>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</si>
  <si>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</si>
  <si>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</si>
  <si>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</si>
  <si>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</si>
  <si>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</si>
  <si>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</si>
  <si>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</si>
  <si>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</si>
  <si>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</si>
  <si>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</si>
  <si>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</si>
  <si>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</si>
  <si>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</si>
  <si>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</si>
  <si>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</si>
  <si>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</si>
  <si>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</si>
  <si>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</si>
  <si>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</si>
  <si>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</si>
  <si>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</si>
  <si>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</si>
  <si>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</si>
  <si>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</si>
  <si>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</si>
  <si>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</si>
  <si>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</si>
  <si>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</si>
  <si>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</si>
  <si>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</si>
  <si>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</si>
  <si>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</si>
  <si>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</si>
  <si>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</si>
  <si>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</si>
  <si>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</si>
  <si>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</si>
  <si>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</si>
  <si>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</si>
  <si>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</si>
  <si>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</si>
  <si>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</si>
  <si>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</si>
  <si>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</si>
  <si>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</si>
  <si>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</si>
  <si>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</si>
  <si>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</si>
  <si>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</si>
  <si>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</si>
  <si>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</si>
  <si>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</si>
  <si>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</si>
  <si>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</si>
  <si>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</si>
  <si>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</si>
  <si>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</si>
  <si>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</si>
  <si>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</si>
  <si>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</si>
  <si>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</si>
  <si>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</si>
  <si>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</si>
  <si>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</si>
  <si>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</si>
  <si>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</si>
  <si>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</si>
  <si>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</si>
  <si>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</si>
  <si>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</si>
  <si>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</si>
  <si>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</si>
  <si>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</si>
  <si>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</si>
  <si>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</si>
  <si>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</si>
  <si>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</si>
  <si>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</si>
  <si>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</si>
  <si>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</si>
  <si>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</si>
  <si>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</si>
  <si>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</si>
  <si>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</si>
  <si>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</si>
  <si>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</si>
  <si>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</si>
  <si>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</si>
  <si>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</si>
  <si>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</si>
  <si>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</si>
  <si>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</si>
  <si>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</si>
  <si>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</si>
  <si>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</si>
  <si>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</si>
  <si>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</si>
  <si>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</si>
  <si>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</si>
  <si>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</si>
  <si>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</si>
  <si>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</si>
  <si>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</si>
  <si>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</si>
  <si>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</si>
  <si>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</si>
  <si>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</si>
  <si>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</si>
  <si>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</si>
  <si>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</si>
  <si>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</si>
  <si>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</si>
  <si>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</si>
  <si>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</si>
  <si>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</si>
  <si>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</si>
  <si>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</si>
  <si>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</si>
  <si>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</si>
  <si>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</si>
  <si>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</si>
  <si>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</si>
  <si>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</si>
  <si>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</si>
  <si>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</si>
  <si>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</si>
  <si>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</si>
  <si>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</si>
  <si>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</si>
  <si>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</si>
  <si>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</si>
  <si>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</si>
  <si>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</si>
  <si>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</si>
  <si>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</si>
  <si>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</si>
  <si>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</si>
  <si>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</si>
  <si>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</si>
  <si>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</si>
  <si>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</si>
  <si>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</si>
  <si>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</si>
  <si>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</si>
  <si>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</si>
  <si>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</si>
  <si>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</si>
  <si>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</si>
  <si>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</si>
  <si>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</si>
  <si>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</si>
  <si>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</si>
  <si>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</si>
  <si>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</si>
  <si>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</si>
  <si>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</si>
  <si>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</si>
  <si>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</si>
  <si>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</si>
  <si>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</si>
  <si>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</si>
  <si>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</si>
  <si>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</si>
  <si>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</si>
  <si>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</si>
  <si>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</si>
  <si>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</si>
  <si>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</si>
  <si>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</si>
  <si>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</si>
  <si>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</si>
  <si>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</si>
  <si>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</si>
  <si>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</si>
  <si>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</si>
  <si>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</si>
  <si>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</si>
  <si>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</si>
  <si>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</si>
  <si>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</si>
  <si>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</si>
  <si>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</si>
  <si>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</si>
  <si>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</si>
  <si>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</si>
  <si>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</si>
  <si>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</si>
  <si>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</si>
  <si>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</si>
  <si>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</si>
  <si>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</si>
  <si>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</si>
  <si>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</si>
  <si>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</si>
  <si>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</si>
  <si>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</si>
  <si>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</si>
  <si>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</si>
  <si>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</si>
  <si>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</si>
  <si>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</si>
  <si>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</si>
  <si>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</si>
  <si>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</si>
  <si>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</si>
  <si>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</si>
  <si>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</si>
  <si>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</si>
  <si>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</si>
  <si>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</si>
  <si>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</si>
  <si>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</si>
  <si>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</si>
  <si>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</si>
  <si>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</si>
  <si>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</si>
  <si>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</si>
  <si>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</si>
  <si>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</si>
  <si>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</si>
  <si>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</si>
  <si>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</si>
  <si>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</si>
  <si>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</si>
  <si>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</si>
  <si>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</si>
  <si>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</si>
  <si>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</si>
  <si>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</si>
  <si>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</si>
  <si>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</si>
  <si>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</si>
  <si>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</si>
  <si>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</si>
  <si>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</si>
  <si>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</si>
  <si>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</si>
  <si>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</si>
  <si>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</si>
  <si>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</si>
  <si>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</si>
  <si>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</si>
  <si>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</si>
  <si>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</si>
  <si>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</si>
  <si>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</si>
  <si>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</si>
  <si>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</si>
  <si>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</si>
  <si>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</si>
  <si>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</si>
  <si>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</si>
  <si>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</si>
  <si>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</si>
  <si>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</si>
  <si>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</si>
  <si>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</si>
  <si>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</si>
  <si>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</si>
  <si>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</si>
  <si>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</si>
  <si>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</si>
  <si>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</si>
  <si>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</si>
  <si>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</si>
  <si>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</si>
  <si>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</si>
  <si>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</si>
  <si>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</si>
  <si>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</si>
  <si>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</si>
  <si>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</si>
  <si>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</si>
  <si>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</si>
  <si>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</si>
  <si>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</si>
  <si>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</si>
  <si>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</si>
  <si>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</si>
  <si>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</si>
  <si>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</si>
  <si>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</si>
  <si>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</si>
  <si>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</si>
  <si>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</si>
  <si>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</si>
  <si>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</si>
  <si>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</si>
  <si>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</si>
  <si>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</si>
  <si>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</si>
  <si>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</si>
  <si>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</si>
  <si>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</si>
  <si>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</si>
  <si>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</si>
  <si>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</si>
  <si>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</si>
  <si>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</si>
  <si>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</si>
  <si>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</si>
  <si>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</si>
  <si>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</si>
  <si>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</si>
  <si>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</si>
  <si>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</si>
  <si>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</si>
  <si>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</si>
  <si>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</si>
  <si>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</si>
  <si>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</si>
  <si>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</si>
  <si>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</si>
  <si>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</si>
  <si>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</si>
  <si>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</si>
  <si>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</si>
  <si>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</si>
  <si>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</si>
  <si>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</si>
  <si>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</si>
  <si>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</si>
  <si>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</si>
  <si>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</si>
  <si>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</si>
  <si>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</si>
  <si>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</si>
  <si>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</si>
  <si>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</si>
  <si>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</si>
  <si>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</si>
  <si>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</si>
  <si>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</si>
  <si>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</si>
  <si>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</si>
  <si>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</si>
  <si>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</si>
  <si>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</si>
  <si>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</si>
  <si>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</si>
  <si>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</si>
  <si>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</si>
  <si>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</si>
  <si>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</si>
  <si>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</si>
  <si>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</si>
  <si>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</si>
  <si>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</si>
  <si>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</si>
  <si>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</si>
  <si>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</si>
  <si>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</si>
  <si>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</si>
  <si>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</si>
  <si>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</si>
  <si>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</si>
  <si>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</si>
  <si>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</si>
  <si>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</si>
  <si>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</si>
  <si>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</si>
  <si>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</si>
  <si>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</si>
  <si>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</si>
  <si>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</si>
  <si>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</si>
  <si>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</si>
  <si>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</si>
  <si>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</si>
  <si>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</si>
  <si>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</si>
  <si>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</si>
  <si>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</si>
  <si>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</si>
  <si>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</si>
  <si>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</si>
  <si>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</si>
  <si>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</si>
  <si>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</si>
  <si>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</si>
  <si>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</si>
  <si>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</si>
  <si>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</si>
  <si>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</si>
  <si>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</si>
  <si>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</si>
  <si>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</si>
  <si>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</si>
  <si>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</si>
  <si>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</si>
  <si>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</si>
  <si>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</si>
  <si>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</si>
  <si>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</si>
  <si>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</si>
  <si>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</si>
  <si>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</si>
  <si>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</si>
  <si>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</si>
  <si>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</si>
  <si>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</si>
  <si>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</si>
  <si>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</si>
  <si>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</si>
  <si>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</si>
  <si>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</si>
  <si>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</si>
  <si>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</si>
  <si>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</si>
  <si>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</si>
  <si>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</si>
  <si>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</si>
  <si>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</si>
  <si>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</si>
  <si>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</si>
  <si>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</si>
  <si>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</si>
  <si>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</si>
  <si>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</si>
  <si>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</si>
  <si>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</si>
  <si>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</si>
  <si>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</si>
  <si>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</si>
  <si>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</si>
  <si>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</si>
  <si>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</si>
  <si>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</si>
  <si>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</si>
  <si>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</si>
  <si>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</si>
  <si>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</si>
  <si>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</si>
  <si>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</si>
  <si>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</si>
  <si>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</si>
  <si>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</si>
  <si>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</si>
  <si>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</si>
  <si>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</si>
  <si>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</si>
  <si>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</si>
  <si>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</si>
  <si>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</si>
  <si>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</si>
  <si>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</si>
  <si>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</si>
  <si>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</si>
  <si>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</si>
  <si>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</si>
  <si>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</si>
  <si>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</si>
  <si>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</si>
  <si>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</si>
  <si>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</si>
  <si>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</si>
  <si>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</si>
  <si>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</si>
  <si>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</si>
  <si>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</si>
  <si>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</si>
  <si>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</si>
  <si>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</si>
  <si>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</si>
  <si>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DSP 1959/2022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</si>
  <si>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</si>
  <si>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</si>
  <si>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</si>
  <si>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</si>
  <si>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</si>
  <si>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</si>
  <si>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</si>
  <si>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CERSUL</t>
  </si>
  <si>
    <t>RESOLUÇÃO HOMOLOGATÓRIA Nº 2.610, DE 24 DE SETEMBRO DE 2019</t>
  </si>
  <si>
    <t>Energia suprimento permissionária</t>
  </si>
  <si>
    <t>CEJAMA - COOPERATIVA DE ELETRICIDADE JACINTO MACHADO</t>
  </si>
  <si>
    <t>00.151.932.427</t>
  </si>
  <si>
    <t>000.080.457.374</t>
  </si>
  <si>
    <t>000.082.764.872</t>
  </si>
  <si>
    <t>000.085.871.681</t>
  </si>
  <si>
    <t>000.088.673.600</t>
  </si>
  <si>
    <t>000.101.621.521</t>
  </si>
  <si>
    <t>000.135.334.111</t>
  </si>
  <si>
    <t>000.138.392.056</t>
  </si>
  <si>
    <t>000.139.462.512</t>
  </si>
  <si>
    <t>000.140.761.465</t>
  </si>
  <si>
    <t>000.140.766.314</t>
  </si>
  <si>
    <t>000.144.585.167</t>
  </si>
  <si>
    <t>000.144.585.168</t>
  </si>
  <si>
    <t>000.148.002.882</t>
  </si>
  <si>
    <t>000.148.002.883</t>
  </si>
  <si>
    <t>000.152.115.950</t>
  </si>
  <si>
    <t>000.156.062.066</t>
  </si>
  <si>
    <t>000.156.062.158</t>
  </si>
  <si>
    <t>000.160.772.101</t>
  </si>
  <si>
    <t>000.160.772.110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</si>
  <si>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</si>
  <si>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</si>
  <si>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</si>
  <si>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</si>
  <si>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</si>
  <si>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</si>
  <si>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</si>
  <si>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</si>
  <si>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</si>
  <si>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</si>
  <si>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</si>
  <si>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</si>
  <si>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</si>
  <si>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</si>
  <si>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</si>
  <si>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</si>
  <si>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</si>
  <si>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</si>
  <si>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</si>
  <si>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</si>
  <si>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</si>
  <si>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</si>
  <si>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</si>
  <si>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</si>
  <si>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</si>
  <si>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</si>
  <si>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</si>
  <si>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</si>
  <si>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</si>
  <si>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</si>
  <si>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</si>
  <si>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</si>
  <si>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</si>
  <si>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</si>
  <si>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</si>
  <si>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</si>
  <si>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PIS COFINS até agosto-21 no RTA 2021</t>
  </si>
  <si>
    <t>DIC FIC até junho-21 no RTA 2021</t>
  </si>
  <si>
    <t>Valor de bandeiras vai ser considerado no cálculo da CVA</t>
  </si>
  <si>
    <t>Matrix Comercializadora</t>
  </si>
  <si>
    <t>48500.000524/2021-29</t>
  </si>
  <si>
    <t>não tem!</t>
  </si>
  <si>
    <t>&gt; ver se tem ICMS</t>
  </si>
  <si>
    <t>Ofício nº 48/2022, de 30/08/2022</t>
  </si>
  <si>
    <t>Despacho 2368, de 29/8/2022</t>
  </si>
  <si>
    <t>DSP 2.368, de 29/08/2022</t>
  </si>
  <si>
    <t>montantes de 2022 do contrato da celesc</t>
  </si>
  <si>
    <t>KWh</t>
  </si>
  <si>
    <t>Mwh contratado</t>
  </si>
  <si>
    <t>contrato com MATRIX</t>
  </si>
  <si>
    <t>setembro/22 a agosto/23</t>
  </si>
  <si>
    <t>Diferimento de Parcela B</t>
  </si>
  <si>
    <t>Diferimento PIS COFINS</t>
  </si>
  <si>
    <t>Repasse de ICMS</t>
  </si>
  <si>
    <t>Reversão do Diferimento de Parcela B</t>
  </si>
  <si>
    <t xml:space="preserve">Reversão do Diferimento de Compra de Energia </t>
  </si>
  <si>
    <t>Reversão do Diferimento de Pis Confins</t>
  </si>
  <si>
    <t>Reversão do Diferimento de Pis Cofins TUSD</t>
  </si>
  <si>
    <t>Reversão do Diferimento de Pis Cofins TE</t>
  </si>
  <si>
    <t>&gt; mercado até julho</t>
  </si>
  <si>
    <t>000.164.663.531</t>
  </si>
  <si>
    <t>000.164.669.694</t>
  </si>
  <si>
    <t>Subvenção Baixa Densidade Carga</t>
  </si>
  <si>
    <t>Diferimento de Energia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</si>
  <si>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</si>
  <si>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</si>
  <si>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</si>
  <si>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</si>
  <si>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</si>
  <si>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 xml:space="preserve">Diferimento CUSD </t>
  </si>
  <si>
    <t xml:space="preserve">Diferimento da Previsão do Risco Hidrológico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</si>
</sst>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  <numFmt numFmtId="281" formatCode="_-* #,##0.00000000_-;\-* #,##0.00000000_-;_-* &quot;-&quot;??_-;_-@_-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9"/>
      <color rgb="FF242424"/>
      <name val="Segoe UI"/>
      <family val="2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3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6" fillId="113" borderId="207" xfId="0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214" fontId="263" fillId="61" borderId="0" xfId="863" applyNumberFormat="1" applyFont="1" applyFill="1" applyBorder="1" applyAlignment="1">
      <alignment horizontal="center"/>
    </xf>
    <xf numFmtId="4" fontId="251" fillId="115" borderId="0" xfId="863" applyNumberFormat="1" applyFont="1" applyFill="1" applyBorder="1" applyAlignment="1">
      <alignment vertical="center"/>
    </xf>
    <xf numFmtId="0" fontId="331" fillId="95" borderId="0" xfId="0" applyFont="1" applyFill="1" applyAlignment="1">
      <alignment vertical="center" wrapText="1"/>
    </xf>
    <xf numFmtId="10" fontId="31" fillId="44" borderId="166" xfId="847" applyNumberFormat="1" applyFont="1" applyFill="1" applyBorder="1" applyAlignment="1">
      <alignment horizontal="right"/>
    </xf>
    <xf numFmtId="168" fontId="31" fillId="44" borderId="144" xfId="863" applyFont="1" applyFill="1" applyBorder="1" applyAlignment="1">
      <alignment horizontal="right"/>
    </xf>
    <xf numFmtId="168" fontId="31" fillId="44" borderId="178" xfId="863" applyFont="1" applyFill="1" applyBorder="1" applyAlignment="1"/>
    <xf numFmtId="10" fontId="283" fillId="0" borderId="187" xfId="847" applyNumberFormat="1" applyFont="1" applyFill="1" applyBorder="1" applyAlignment="1">
      <alignment horizontal="center"/>
    </xf>
    <xf numFmtId="168" fontId="284" fillId="119" borderId="0" xfId="863" applyFont="1" applyFill="1" applyBorder="1" applyAlignment="1">
      <alignment vertical="center"/>
    </xf>
    <xf numFmtId="168" fontId="284" fillId="112" borderId="0" xfId="863" applyFont="1" applyFill="1" applyBorder="1" applyAlignment="1">
      <alignment vertical="center"/>
    </xf>
    <xf numFmtId="168" fontId="284" fillId="45" borderId="10" xfId="863" applyFont="1" applyFill="1" applyBorder="1" applyAlignment="1">
      <alignment vertical="center"/>
    </xf>
    <xf numFmtId="168" fontId="284" fillId="111" borderId="10" xfId="863" applyFont="1" applyFill="1" applyBorder="1" applyAlignment="1">
      <alignment vertical="center"/>
    </xf>
    <xf numFmtId="168" fontId="284" fillId="111" borderId="10" xfId="863" applyFont="1" applyFill="1" applyBorder="1"/>
    <xf numFmtId="168" fontId="284" fillId="42" borderId="10" xfId="863" applyFont="1" applyFill="1" applyBorder="1"/>
    <xf numFmtId="168" fontId="327" fillId="42" borderId="10" xfId="863" applyFont="1" applyFill="1" applyBorder="1"/>
    <xf numFmtId="167" fontId="206" fillId="42" borderId="0" xfId="815" applyFont="1" applyFill="1"/>
    <xf numFmtId="17" fontId="206" fillId="0" borderId="0" xfId="0" applyNumberFormat="1" applyFont="1" applyAlignment="1">
      <alignment horizontal="center"/>
    </xf>
    <xf numFmtId="3" fontId="206" fillId="0" borderId="0" xfId="0" applyNumberFormat="1" applyFont="1" applyAlignment="1">
      <alignment horizontal="center"/>
    </xf>
    <xf numFmtId="216" fontId="206" fillId="42" borderId="0" xfId="863" applyNumberFormat="1" applyFont="1" applyFill="1"/>
    <xf numFmtId="168" fontId="252" fillId="59" borderId="144" xfId="863" applyFont="1" applyFill="1" applyBorder="1" applyAlignment="1">
      <alignment horizontal="left"/>
    </xf>
    <xf numFmtId="4" fontId="332" fillId="0" borderId="0" xfId="0" applyNumberFormat="1" applyFont="1"/>
    <xf numFmtId="205" fontId="332" fillId="0" borderId="0" xfId="0" applyNumberFormat="1" applyFont="1"/>
    <xf numFmtId="277" fontId="308" fillId="0" borderId="0" xfId="43437" applyNumberFormat="1" applyFont="1" applyAlignment="1">
      <alignment vertical="center" wrapText="1"/>
    </xf>
    <xf numFmtId="281" fontId="284" fillId="0" borderId="0" xfId="0" applyNumberFormat="1" applyFont="1" applyAlignment="1">
      <alignment horizontal="center"/>
    </xf>
    <xf numFmtId="0" fontId="333" fillId="0" borderId="0" xfId="0" pivotButton="1" applyFont="1"/>
    <xf numFmtId="0" fontId="333" fillId="0" borderId="0" xfId="0" applyFont="1"/>
    <xf numFmtId="205" fontId="333" fillId="0" borderId="0" xfId="0" applyNumberFormat="1" applyFont="1" applyAlignment="1">
      <alignment horizontal="left"/>
    </xf>
    <xf numFmtId="168" fontId="333" fillId="0" borderId="0" xfId="0" applyNumberFormat="1" applyFont="1"/>
    <xf numFmtId="0" fontId="284" fillId="42" borderId="20" xfId="0" applyFont="1" applyFill="1" applyBorder="1"/>
    <xf numFmtId="167" fontId="283" fillId="0" borderId="193" xfId="815" applyFont="1" applyBorder="1"/>
    <xf numFmtId="167" fontId="283" fillId="0" borderId="196" xfId="815" applyFont="1" applyFill="1" applyBorder="1"/>
    <xf numFmtId="37" fontId="251" fillId="0" borderId="0" xfId="905" applyNumberFormat="1" applyFont="1" applyAlignment="1">
      <alignment horizontal="left"/>
    </xf>
    <xf numFmtId="168" fontId="251" fillId="0" borderId="0" xfId="863" applyFont="1" applyFill="1" applyBorder="1" applyAlignment="1">
      <alignment horizontal="right" vertical="center" wrapText="1"/>
    </xf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FFCC"/>
      <color rgb="FFCCECFF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[Persas_RTA_2022_Cejama.xlsx]Calc_Mercado!Tabela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2830.1509999999998</c:v>
                </c:pt>
                <c:pt idx="1">
                  <c:v>2878.9450000000002</c:v>
                </c:pt>
                <c:pt idx="2">
                  <c:v>3063.1140000000005</c:v>
                </c:pt>
                <c:pt idx="3">
                  <c:v>3209.3090000000002</c:v>
                </c:pt>
                <c:pt idx="4">
                  <c:v>3371.9360000000006</c:v>
                </c:pt>
                <c:pt idx="5">
                  <c:v>3879.4690000000001</c:v>
                </c:pt>
                <c:pt idx="6">
                  <c:v>4347.9030000000021</c:v>
                </c:pt>
                <c:pt idx="7">
                  <c:v>3887.279</c:v>
                </c:pt>
                <c:pt idx="8">
                  <c:v>3642.5780000000004</c:v>
                </c:pt>
                <c:pt idx="9">
                  <c:v>3445.6640000000002</c:v>
                </c:pt>
                <c:pt idx="10">
                  <c:v>3373.8710000000005</c:v>
                </c:pt>
                <c:pt idx="11">
                  <c:v>3373.8710000000005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638F-413E-89F4-6A527ECB332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7.569410549986319E-2</c:v>
                </c:pt>
                <c:pt idx="1">
                  <c:v>4.3756070310727264E-2</c:v>
                </c:pt>
                <c:pt idx="2">
                  <c:v>-7.5461586662277785E-2</c:v>
                </c:pt>
                <c:pt idx="3">
                  <c:v>0.12539926645513366</c:v>
                </c:pt>
                <c:pt idx="4">
                  <c:v>-0.1542</c:v>
                </c:pt>
                <c:pt idx="5">
                  <c:v>0.11840000000000001</c:v>
                </c:pt>
                <c:pt idx="6">
                  <c:v>0.13355369294285313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0.39539309846295168</c:v>
                </c:pt>
                <c:pt idx="1">
                  <c:v>0.26794123547614229</c:v>
                </c:pt>
                <c:pt idx="2">
                  <c:v>0.16192201471821344</c:v>
                </c:pt>
                <c:pt idx="3">
                  <c:v>0</c:v>
                </c:pt>
                <c:pt idx="4">
                  <c:v>0</c:v>
                </c:pt>
                <c:pt idx="5">
                  <c:v>2.2206166787873224E-2</c:v>
                </c:pt>
                <c:pt idx="6">
                  <c:v>0.1266886613897259</c:v>
                </c:pt>
                <c:pt idx="7">
                  <c:v>1.7699383942069466E-3</c:v>
                </c:pt>
                <c:pt idx="8">
                  <c:v>4.5782319702270972E-2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7492976.8781716749</c:v>
                </c:pt>
                <c:pt idx="1">
                  <c:v>10281408.04154011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8645272.6082147211</c:v>
                </c:pt>
                <c:pt idx="1">
                  <c:v>6967276.8285375824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3237480.1830816967</c:v>
                </c:pt>
                <c:pt idx="1">
                  <c:v>4210458.682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2860693.5744119063</c:v>
                </c:pt>
                <c:pt idx="1">
                  <c:v>4543859.741373769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0.29921643827150929</c:v>
                </c:pt>
                <c:pt idx="1">
                  <c:v>0.2027663670835449</c:v>
                </c:pt>
                <c:pt idx="2">
                  <c:v>0.12253559485502873</c:v>
                </c:pt>
                <c:pt idx="3">
                  <c:v>0.13223845628205402</c:v>
                </c:pt>
                <c:pt idx="4">
                  <c:v>0.24324314350786316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Cejama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563.41</c:v>
                </c:pt>
                <c:pt idx="1">
                  <c:v>616.29</c:v>
                </c:pt>
                <c:pt idx="2">
                  <c:v>657.39</c:v>
                </c:pt>
                <c:pt idx="3">
                  <c:v>548.54000000000008</c:v>
                </c:pt>
                <c:pt idx="4">
                  <c:v>639.03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573.02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436.51558755547495</c:v>
                </c:pt>
                <c:pt idx="1">
                  <c:v>458.11812515876517</c:v>
                </c:pt>
                <c:pt idx="2">
                  <c:v>517.7846761758758</c:v>
                </c:pt>
                <c:pt idx="3">
                  <c:v>678.89512630941908</c:v>
                </c:pt>
                <c:pt idx="4">
                  <c:v>737.1949163441127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409.18514891504185</c:v>
                </c:pt>
                <c:pt idx="1">
                  <c:v>423.2145343603645</c:v>
                </c:pt>
                <c:pt idx="2">
                  <c:v>433.53447163810574</c:v>
                </c:pt>
                <c:pt idx="3">
                  <c:v>475.49962707497423</c:v>
                </c:pt>
                <c:pt idx="4">
                  <c:v>516.99786462512918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Cejama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301.51</c:v>
                </c:pt>
                <c:pt idx="1">
                  <c:v>350.89</c:v>
                </c:pt>
                <c:pt idx="2">
                  <c:v>436.4</c:v>
                </c:pt>
                <c:pt idx="3" formatCode="_(* #,##0.00_);_(* \(#,##0.00\);_(* &quot;-&quot;??_);_(@_)">
                  <c:v>495.02000000000004</c:v>
                </c:pt>
                <c:pt idx="4" formatCode="_(* #,##0.00_);_(* \(#,##0.00\);_(* &quot;-&quot;??_);_(@_)">
                  <c:v>556.74</c:v>
                </c:pt>
                <c:pt idx="5" formatCode="_(* #,##0.00_);_(* \(#,##0.00\);_(* &quot;-&quot;??_);_(@_)">
                  <c:v>563.41</c:v>
                </c:pt>
                <c:pt idx="6" formatCode="_(* #,##0.00_);_(* \(#,##0.00\);_(* &quot;-&quot;??_);_(@_)">
                  <c:v>616.29</c:v>
                </c:pt>
                <c:pt idx="7" formatCode="_(* #,##0.00_);_(* \(#,##0.00\);_(* &quot;-&quot;??_);_(@_)">
                  <c:v>657.39</c:v>
                </c:pt>
                <c:pt idx="8" formatCode="_(* #,##0.00_);_(* \(#,##0.00\);_(* &quot;-&quot;??_);_(@_)">
                  <c:v>548.54000000000008</c:v>
                </c:pt>
                <c:pt idx="9" formatCode="_(* #,##0.00_);_(* \(#,##0.00\);_(* &quot;-&quot;??_);_(@_)">
                  <c:v>639.03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573.02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301.51</c:v>
                </c:pt>
                <c:pt idx="1">
                  <c:v>340.13187680089015</c:v>
                </c:pt>
                <c:pt idx="2">
                  <c:v>365.82287738845173</c:v>
                </c:pt>
                <c:pt idx="3">
                  <c:v>407.85217733023103</c:v>
                </c:pt>
                <c:pt idx="4">
                  <c:v>400.87280024250424</c:v>
                </c:pt>
                <c:pt idx="5">
                  <c:v>436.51558755547495</c:v>
                </c:pt>
                <c:pt idx="6">
                  <c:v>458.11812515876517</c:v>
                </c:pt>
                <c:pt idx="7">
                  <c:v>517.7846761758758</c:v>
                </c:pt>
                <c:pt idx="8">
                  <c:v>678.89512630941908</c:v>
                </c:pt>
                <c:pt idx="9">
                  <c:v>737.1949163441127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301.51</c:v>
                </c:pt>
                <c:pt idx="1">
                  <c:v>321.14725538453285</c:v>
                </c:pt>
                <c:pt idx="2">
                  <c:v>351.7380645204579</c:v>
                </c:pt>
                <c:pt idx="3">
                  <c:v>383.30478868476496</c:v>
                </c:pt>
                <c:pt idx="4">
                  <c:v>392.71840354808836</c:v>
                </c:pt>
                <c:pt idx="5">
                  <c:v>409.18514891504185</c:v>
                </c:pt>
                <c:pt idx="6">
                  <c:v>423.2145343603645</c:v>
                </c:pt>
                <c:pt idx="7">
                  <c:v>433.53447163810574</c:v>
                </c:pt>
                <c:pt idx="8">
                  <c:v>475.49962707497423</c:v>
                </c:pt>
                <c:pt idx="9">
                  <c:v>516.99786462512918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729917</xdr:colOff>
      <xdr:row>73</xdr:row>
      <xdr:rowOff>32085</xdr:rowOff>
    </xdr:from>
    <xdr:to>
      <xdr:col>9</xdr:col>
      <xdr:colOff>805794</xdr:colOff>
      <xdr:row>75</xdr:row>
      <xdr:rowOff>64077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4422" y="16258674"/>
          <a:ext cx="4696004" cy="4009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7.446290624997" createdVersion="4" refreshedVersion="8" minRefreshableVersion="3" recordCount="442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444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6820"/>
    </cacheField>
    <cacheField name="Daj" numFmtId="4">
      <sharedItems containsSemiMixedTypes="0" containsString="0" containsNumber="1" containsInteger="1" minValue="0" maxValue="6820"/>
    </cacheField>
    <cacheField name="TUSD_E" numFmtId="4">
      <sharedItems containsSemiMixedTypes="0" containsString="0" containsNumber="1" minValue="-3.3889999999999998" maxValue="2710.4949999999999"/>
    </cacheField>
    <cacheField name="TUSD_Eaj" numFmtId="4">
      <sharedItems containsSemiMixedTypes="0" containsString="0" containsNumber="1" minValue="-3.3889999999999998" maxValue="2710.4949999999999"/>
    </cacheField>
    <cacheField name="TE_E" numFmtId="4">
      <sharedItems containsSemiMixedTypes="0" containsString="0" containsNumber="1" minValue="-3.3889999999999998" maxValue="2710.4949999999999"/>
    </cacheField>
    <cacheField name="TE_Eaj" numFmtId="4">
      <sharedItems containsSemiMixedTypes="0" containsString="0" containsNumber="1" minValue="-3.3889999999999998" maxValue="2710.4949999999999"/>
    </cacheField>
    <cacheField name="TUSD/KW" numFmtId="4">
      <sharedItems containsString="0" containsBlank="1" containsNumber="1" minValue="28.04" maxValue="28.04"/>
    </cacheField>
    <cacheField name="TUSD/MWh" numFmtId="4">
      <sharedItems containsString="0" containsBlank="1" containsNumber="1" minValue="64.11" maxValue="2184.0300000000002"/>
    </cacheField>
    <cacheField name="TE" numFmtId="4">
      <sharedItems containsString="0" containsBlank="1" containsNumber="1" minValue="118.34" maxValue="215.17"/>
    </cacheField>
    <cacheField name="ReceitaD" numFmtId="4">
      <sharedItems containsString="0" containsBlank="1" containsNumber="1" minValue="2383.4" maxValue="191232.8"/>
    </cacheField>
    <cacheField name="ReceitaE" numFmtId="4">
      <sharedItems containsString="0" containsBlank="1" containsNumber="1" minValue="-2138.9673499999999" maxValue="756987.04359999986"/>
    </cacheField>
    <cacheField name="Total" numFmtId="4">
      <sharedItems containsString="0" containsBlank="1" containsNumber="1" minValue="-2138.9673499999999" maxValue="756987.04359999986"/>
    </cacheField>
    <cacheField name="Total com Tar de aplicação" numFmtId="4">
      <sharedItems containsString="0" containsBlank="1" containsNumber="1" minValue="-1859.0020599999998" maxValue="824153.10969999991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207.02248094120043" maxValue="144050.17927013425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302.69049182588356" maxValue="98824.757135123626"/>
    </cacheField>
    <cacheField name="DISTRIBUICAO" numFmtId="4">
      <sharedItems containsString="0" containsBlank="1" containsNumber="1" minValue="-856.77475669930425" maxValue="219085.15707324952"/>
    </cacheField>
    <cacheField name="EnergiaRevenda" numFmtId="4">
      <sharedItems containsString="0" containsBlank="1" containsNumber="1" minValue="-714.27220647441618" maxValue="571269.17801353568"/>
    </cacheField>
    <cacheField name="ESSERR" numFmtId="4">
      <sharedItems containsString="0" containsBlank="1" containsNumber="1" minValue="-14.935236360136408" maxValue="11945.082171132468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31.990283705195793" maxValue="25585.57215447467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3.9902000557901491" maxValue="1869.896357945184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7.2929061669838307" maxValue="2252.0176961435659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1013.72" maxValue="507328.11"/>
    </cacheField>
    <cacheField name="UC" numFmtId="4">
      <sharedItems containsSemiMixedTypes="0" containsString="0" containsNumber="1" containsInteger="1" minValue="0" maxValue="2847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571.72130039999934" maxValue="742.96451760000014"/>
    </cacheField>
    <cacheField name="Subs_Rural" numFmtId="4">
      <sharedItems containsString="0" containsBlank="1" containsNumber="1" minValue="-215.82377999999997" maxValue="34927.119719999995"/>
    </cacheField>
    <cacheField name="Subs_Irrigante" numFmtId="4">
      <sharedItems containsString="0" containsBlank="1" containsNumber="1" minValue="-399.88349999999997" maxValue="5894.1050640000003"/>
    </cacheField>
    <cacheField name="Subs_BaixaRenda" numFmtId="4">
      <sharedItems containsString="0" containsBlank="1" containsNumber="1" minValue="-26.924800000000001" maxValue="3151.7401600000003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721.56511264139999" maxValue="573521.19570967928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859.5506" maxValue="824154.62999999989"/>
    </cacheField>
    <cacheField name="FinAj" numFmtId="4">
      <sharedItems containsSemiMixedTypes="0" containsString="0" containsNumber="1" minValue="-88305.175200000056" maxValue="67167.556400000001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92375.708370000037" maxValue="372.07831000000004"/>
    </cacheField>
    <cacheField name="FinPostTE" numFmtId="4">
      <sharedItems containsSemiMixedTypes="0" containsString="0" containsNumber="1" minValue="-92.11302000000002" maxValue="73671.25410000002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95.955785868209659" maxValue="67167.927501125028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2.598638737209399" maxValue="4113.3020265270461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92.111274933262962" maxValue="73669.858409629669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0.94048022437452961" maxValue="290.41620167183373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5856.9358617650578" maxValue="8.4173265105232815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813.5070460823772" maxValue="1.0171482991753109"/>
    </cacheField>
    <cacheField name="finCT_TFSEE" numFmtId="4">
      <sharedItems containsString="0" containsBlank="1" containsNumber="1" minValue="-121.90420232885799" maxValue="0.26013321693837499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1442.815491524344" maxValue="115764.72531995326"/>
    </cacheField>
    <cacheField name="DIST_E" numFmtId="4">
      <sharedItems containsString="0" containsBlank="1" containsNumber="1" minValue="-856.77475669930425" maxValue="219085.15707324952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92375.708370000037" maxValue="372.0783100000001"/>
    </cacheField>
    <cacheField name="Fin_TE" numFmtId="4">
      <sharedItems containsString="0" containsBlank="1" containsNumber="1" minValue="-92.113020000000006" maxValue="73671.25410000002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96128.49966624417" maxValue="375.9290360591562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16" maxValue="21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439.92200000000003"/>
    <n v="439.92200000000003"/>
    <n v="439.92200000000003"/>
    <n v="439.92200000000003"/>
    <m/>
    <n v="415.98"/>
    <n v="215.17"/>
    <m/>
    <n v="277656.77030000003"/>
    <n v="277656.77030000003"/>
    <n v="241314.81388000003"/>
    <n v="0"/>
    <n v="26873.338406791023"/>
    <n v="0"/>
    <n v="0"/>
    <n v="0"/>
    <n v="39291.88744320636"/>
    <n v="111216.89717222525"/>
    <n v="92718.813106119254"/>
    <n v="1938.7250073838684"/>
    <n v="0"/>
    <n v="0"/>
    <n v="0"/>
    <n v="0"/>
    <n v="4152.6201204358649"/>
    <m/>
    <n v="517.96305368643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6.68334812388935"/>
    <n v="0"/>
    <n v="0"/>
    <n v="0"/>
    <n v="64087.45"/>
    <n v="2828"/>
    <m/>
    <m/>
    <m/>
    <m/>
    <m/>
    <m/>
    <m/>
    <m/>
    <m/>
    <n v="93665.496454243141"/>
    <m/>
    <m/>
    <m/>
    <m/>
    <m/>
    <m/>
    <m/>
    <m/>
    <m/>
    <m/>
    <m/>
    <m/>
    <n v="241313.71679999999"/>
    <n v="-36343.083500000066"/>
    <m/>
    <m/>
    <m/>
    <m/>
    <n v="-48299.036380000012"/>
    <n v="11957.079960000005"/>
    <n v="30"/>
    <n v="12455.904759726982"/>
    <n v="0"/>
    <n v="0"/>
    <n v="0"/>
    <n v="0"/>
    <n v="0"/>
    <n v="0"/>
    <n v="0"/>
    <n v="1635.4140898644619"/>
    <n v="0"/>
    <n v="0"/>
    <n v="11956.853434992896"/>
    <n v="0"/>
    <n v="0"/>
    <n v="0"/>
    <n v="122.08260291156466"/>
    <n v="0"/>
    <n v="-1092.6429959169145"/>
    <m/>
    <n v="0"/>
    <n v="0"/>
    <n v="0"/>
    <n v="0"/>
    <n v="-132.03479317491929"/>
    <n v="-33.767578950122072"/>
    <n v="0"/>
    <n v="0"/>
    <m/>
    <m/>
    <m/>
    <n v="111216.89717222525"/>
    <n v="0"/>
    <n v="0"/>
    <n v="-48299.036380000005"/>
    <n v="11957.079960000003"/>
    <n v="0"/>
    <n v="0"/>
    <n v="-48798.8944825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05"/>
    <n v="-0.05"/>
    <n v="-0.05"/>
    <n v="-0.05"/>
    <m/>
    <n v="415.98"/>
    <n v="215.17"/>
    <m/>
    <n v="-31.557500000000005"/>
    <n v="-31.557500000000005"/>
    <n v="-27.427"/>
    <n v="0"/>
    <n v="-3.0543299047093604"/>
    <n v="0"/>
    <n v="0"/>
    <n v="0"/>
    <n v="-4.4657788702549954"/>
    <n v="-12.64052458983925"/>
    <n v="-10.538096879233052"/>
    <n v="-0.22034872174884051"/>
    <n v="0"/>
    <n v="0"/>
    <n v="0"/>
    <n v="0"/>
    <n v="-0.47197231786951604"/>
    <m/>
    <n v="-5.88698739420205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107596727161166"/>
    <n v="0"/>
    <n v="0"/>
    <n v="0"/>
    <n v="-5.13"/>
    <n v="0"/>
    <m/>
    <m/>
    <m/>
    <m/>
    <m/>
    <m/>
    <m/>
    <m/>
    <m/>
    <n v="-10.645693606394218"/>
    <m/>
    <m/>
    <m/>
    <m/>
    <m/>
    <m/>
    <m/>
    <m/>
    <m/>
    <m/>
    <m/>
    <m/>
    <n v="-27.427"/>
    <n v="4.1005000000000003"/>
    <m/>
    <m/>
    <m/>
    <m/>
    <n v="5.4895000000000014"/>
    <n v="-1.3590000000000004"/>
    <n v="30"/>
    <n v="-1.4156946867543532"/>
    <n v="0"/>
    <n v="0"/>
    <n v="0"/>
    <n v="0"/>
    <n v="0"/>
    <n v="0"/>
    <n v="0"/>
    <n v="-0.18587546086174989"/>
    <n v="0"/>
    <n v="0"/>
    <n v="-1.3589742539578484"/>
    <n v="0"/>
    <n v="0"/>
    <n v="0"/>
    <n v="-1.3875482802811007E-2"/>
    <n v="0"/>
    <n v="0.12418599159816024"/>
    <m/>
    <n v="0"/>
    <n v="0"/>
    <n v="0"/>
    <n v="0"/>
    <n v="1.5006614033274024E-2"/>
    <n v="3.8379052366240077E-3"/>
    <n v="0"/>
    <n v="0"/>
    <m/>
    <m/>
    <m/>
    <n v="-12.64052458983925"/>
    <n v="0"/>
    <n v="0"/>
    <n v="5.4895000000000032"/>
    <n v="-1.359"/>
    <n v="0"/>
    <n v="0"/>
    <n v="5.546312128343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.4510000000000001"/>
    <n v="1.4510000000000001"/>
    <n v="1.4510000000000001"/>
    <n v="1.4510000000000001"/>
    <m/>
    <n v="415.98"/>
    <n v="215.17"/>
    <m/>
    <n v="915.79864999999995"/>
    <n v="915.79864999999995"/>
    <n v="795.93154000000004"/>
    <n v="0"/>
    <n v="88.636653834665637"/>
    <n v="0"/>
    <n v="0"/>
    <n v="0"/>
    <n v="129.59690281479996"/>
    <n v="366.82802359713503"/>
    <n v="305.81557143534314"/>
    <n v="6.3945199051513519"/>
    <n v="0"/>
    <n v="0"/>
    <n v="0"/>
    <n v="0"/>
    <n v="13.696636664573356"/>
    <m/>
    <n v="1.7084037417974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224570222170374"/>
    <n v="0"/>
    <n v="0"/>
    <n v="0"/>
    <n v="669.88"/>
    <n v="15"/>
    <m/>
    <m/>
    <m/>
    <m/>
    <m/>
    <m/>
    <m/>
    <m/>
    <m/>
    <n v="308.93802845756016"/>
    <m/>
    <m/>
    <m/>
    <m/>
    <m/>
    <m/>
    <m/>
    <m/>
    <m/>
    <m/>
    <m/>
    <m/>
    <n v="795.38300000000004"/>
    <n v="-120.44564999999989"/>
    <m/>
    <m/>
    <m/>
    <m/>
    <n v="-159.30529000000004"/>
    <n v="39.43818000000001"/>
    <n v="30"/>
    <n v="41.083459809611441"/>
    <n v="0"/>
    <n v="0"/>
    <n v="0"/>
    <n v="0"/>
    <n v="0"/>
    <n v="0"/>
    <n v="0"/>
    <n v="5.3941058742079804"/>
    <n v="0"/>
    <n v="0"/>
    <n v="39.437432849856805"/>
    <n v="0"/>
    <n v="0"/>
    <n v="0"/>
    <n v="0.40266651093757533"/>
    <n v="0"/>
    <n v="-3.6038774761786101"/>
    <m/>
    <n v="0"/>
    <n v="0"/>
    <n v="0"/>
    <n v="0"/>
    <n v="-0.4354919392456118"/>
    <n v="-0.11137600996682862"/>
    <n v="0"/>
    <n v="0"/>
    <m/>
    <m/>
    <m/>
    <n v="366.82802359713503"/>
    <n v="0"/>
    <n v="0"/>
    <n v="-159.30529000000001"/>
    <n v="39.438180000000045"/>
    <n v="0"/>
    <n v="0"/>
    <n v="-160.95397796454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4.9800000000000004"/>
    <n v="4.9800000000000004"/>
    <n v="4.9800000000000004"/>
    <n v="4.9800000000000004"/>
    <m/>
    <n v="345.46"/>
    <n v="215.17"/>
    <m/>
    <n v="2791.9374000000003"/>
    <n v="2791.9374000000003"/>
    <n v="2394.384"/>
    <n v="0"/>
    <n v="0"/>
    <n v="0"/>
    <n v="0"/>
    <n v="0"/>
    <n v="444.79157547739754"/>
    <n v="1258.9962491479894"/>
    <n v="1049.594449171612"/>
    <n v="21.946732686184514"/>
    <n v="0"/>
    <n v="0"/>
    <n v="0"/>
    <n v="0"/>
    <n v="0"/>
    <m/>
    <n v="5.863439444625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16634025252134"/>
    <n v="0"/>
    <n v="0"/>
    <n v="0"/>
    <n v="141.88"/>
    <n v="6"/>
    <m/>
    <m/>
    <m/>
    <m/>
    <m/>
    <m/>
    <m/>
    <n v="1556.3496"/>
    <m/>
    <n v="1060.3110831968643"/>
    <m/>
    <m/>
    <m/>
    <m/>
    <m/>
    <m/>
    <m/>
    <m/>
    <m/>
    <m/>
    <m/>
    <m/>
    <n v="838.03440000000001"/>
    <n v="-139.1712"/>
    <m/>
    <m/>
    <m/>
    <m/>
    <n v="-532.90980000000002"/>
    <n v="135.35640000000004"/>
    <n v="30"/>
    <n v="154.86677432162423"/>
    <n v="0"/>
    <n v="0"/>
    <n v="0"/>
    <n v="0"/>
    <n v="0"/>
    <n v="0"/>
    <n v="0"/>
    <n v="18.513195901830329"/>
    <n v="0"/>
    <n v="0"/>
    <n v="135.35383569420173"/>
    <n v="0"/>
    <n v="0"/>
    <n v="0"/>
    <n v="1.3819980871599764"/>
    <n v="0"/>
    <n v="0"/>
    <m/>
    <n v="0"/>
    <n v="0"/>
    <n v="0"/>
    <n v="0"/>
    <n v="0"/>
    <n v="-0.38225536156775064"/>
    <n v="0"/>
    <n v="0"/>
    <m/>
    <m/>
    <m/>
    <n v="1258.9962491479894"/>
    <n v="0"/>
    <n v="0"/>
    <n v="-532.90980000000013"/>
    <n v="135.35639999999989"/>
    <n v="0"/>
    <n v="0"/>
    <n v="-552.41268798306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"/>
    <s v="Refaturamento - 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1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0.137"/>
    <n v="10.137"/>
    <n v="10.137"/>
    <n v="10.137"/>
    <m/>
    <n v="345.46"/>
    <n v="215.17"/>
    <m/>
    <n v="5683.1063099999992"/>
    <n v="5683.1063099999992"/>
    <n v="4873.8696"/>
    <n v="0"/>
    <n v="0"/>
    <n v="0"/>
    <n v="0"/>
    <n v="0"/>
    <n v="905.39200815549771"/>
    <n v="2562.7399553440096"/>
    <n v="2136.4937612957087"/>
    <n v="44.673499847359928"/>
    <n v="0"/>
    <n v="0"/>
    <n v="0"/>
    <n v="0"/>
    <n v="0"/>
    <m/>
    <n v="11.935278243005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14160464654794"/>
    <n v="0"/>
    <n v="0"/>
    <n v="0"/>
    <n v="511.38"/>
    <n v="36"/>
    <m/>
    <m/>
    <m/>
    <m/>
    <m/>
    <m/>
    <m/>
    <n v="1949.5478400000002"/>
    <m/>
    <n v="2158.3079217603636"/>
    <m/>
    <m/>
    <m/>
    <m/>
    <m/>
    <m/>
    <m/>
    <m/>
    <m/>
    <m/>
    <m/>
    <m/>
    <n v="2925.1872000000003"/>
    <n v="-484.62549000000035"/>
    <m/>
    <m/>
    <m/>
    <m/>
    <n v="-1084.76037"/>
    <n v="275.52366000000006"/>
    <n v="30"/>
    <n v="315.23784965829464"/>
    <n v="0"/>
    <n v="0"/>
    <n v="0"/>
    <n v="0"/>
    <n v="0"/>
    <n v="0"/>
    <n v="0"/>
    <n v="37.68439093511131"/>
    <n v="0"/>
    <n v="0"/>
    <n v="275.51844024741467"/>
    <n v="0"/>
    <n v="0"/>
    <n v="0"/>
    <n v="2.8131153834419038"/>
    <n v="0"/>
    <n v="0"/>
    <m/>
    <n v="0"/>
    <n v="0"/>
    <n v="0"/>
    <n v="0"/>
    <n v="0"/>
    <n v="-0.77809690767315232"/>
    <n v="0"/>
    <n v="0"/>
    <m/>
    <m/>
    <m/>
    <n v="2562.7399553440096"/>
    <n v="0"/>
    <n v="0"/>
    <n v="-1084.76037"/>
    <n v="275.52366000000029"/>
    <n v="0"/>
    <n v="0"/>
    <n v="-1124.4593209004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"/>
    <s v="Refaturamento - 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-0.14000000000000001"/>
    <n v="-0.14000000000000001"/>
    <n v="-0.14000000000000001"/>
    <n v="-0.14000000000000001"/>
    <m/>
    <n v="345.46"/>
    <n v="215.17"/>
    <m/>
    <n v="-78.488200000000006"/>
    <n v="-78.488200000000006"/>
    <n v="-67.312000000000012"/>
    <n v="0"/>
    <n v="0"/>
    <n v="0"/>
    <n v="0"/>
    <n v="0"/>
    <n v="-12.504180836713987"/>
    <n v="-35.393468851549905"/>
    <n v="-29.506671261852546"/>
    <n v="-0.61697642089675342"/>
    <n v="0"/>
    <n v="0"/>
    <n v="0"/>
    <n v="0"/>
    <n v="0"/>
    <m/>
    <n v="-0.164835647037657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0127083605126481"/>
    <n v="0"/>
    <n v="0"/>
    <n v="0"/>
    <n v="-6.84"/>
    <n v="0"/>
    <m/>
    <m/>
    <m/>
    <m/>
    <m/>
    <m/>
    <m/>
    <n v="-26.924800000000001"/>
    <m/>
    <n v="-29.807942097903812"/>
    <m/>
    <m/>
    <m/>
    <m/>
    <m/>
    <m/>
    <m/>
    <m/>
    <m/>
    <m/>
    <m/>
    <m/>
    <n v="-40.387200000000007"/>
    <n v="6.6745999999999981"/>
    <m/>
    <m/>
    <m/>
    <m/>
    <n v="14.981400000000001"/>
    <n v="-3.8052000000000015"/>
    <n v="30"/>
    <n v="-4.3536844186801957"/>
    <n v="0"/>
    <n v="0"/>
    <n v="0"/>
    <n v="0"/>
    <n v="0"/>
    <n v="0"/>
    <n v="0"/>
    <n v="-0.52045129041290039"/>
    <n v="0"/>
    <n v="0"/>
    <n v="-3.8051279110819749"/>
    <n v="0"/>
    <n v="0"/>
    <n v="0"/>
    <n v="-3.8851351847870863E-2"/>
    <n v="0"/>
    <n v="0"/>
    <m/>
    <n v="0"/>
    <n v="0"/>
    <n v="0"/>
    <n v="0"/>
    <n v="0"/>
    <n v="1.0746134662547202E-2"/>
    <n v="0"/>
    <n v="0"/>
    <m/>
    <m/>
    <m/>
    <n v="-35.393468851549905"/>
    <n v="0"/>
    <n v="0"/>
    <n v="14.981400000000001"/>
    <n v="-3.8051999999999992"/>
    <n v="0"/>
    <n v="0"/>
    <n v="15.529673959363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8.66"/>
    <n v="8.66"/>
    <n v="8.66"/>
    <n v="8.66"/>
    <m/>
    <n v="345.46"/>
    <n v="215.17"/>
    <m/>
    <n v="4855.0558000000001"/>
    <n v="4855.0558000000001"/>
    <n v="4163.7280000000001"/>
    <n v="0"/>
    <n v="0"/>
    <n v="0"/>
    <n v="0"/>
    <n v="0"/>
    <n v="773.47290032816511"/>
    <n v="2189.3388589601582"/>
    <n v="1825.1983794831644"/>
    <n v="38.164398606899177"/>
    <n v="0"/>
    <n v="0"/>
    <n v="0"/>
    <n v="0"/>
    <n v="0"/>
    <m/>
    <n v="10.19626216675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635753144313952"/>
    <n v="0"/>
    <n v="0"/>
    <n v="0"/>
    <n v="1165.33"/>
    <n v="94"/>
    <m/>
    <m/>
    <m/>
    <m/>
    <m/>
    <m/>
    <m/>
    <n v="416.45939999999979"/>
    <m/>
    <n v="1843.8341326274783"/>
    <m/>
    <m/>
    <m/>
    <m/>
    <m/>
    <m/>
    <m/>
    <m/>
    <m/>
    <m/>
    <m/>
    <m/>
    <n v="3747.2686000000003"/>
    <n v="-622.25100000000111"/>
    <m/>
    <m/>
    <m/>
    <m/>
    <n v="-926.70659999999998"/>
    <n v="235.37880000000007"/>
    <n v="30"/>
    <n v="269.30647904121815"/>
    <n v="0"/>
    <n v="0"/>
    <n v="0"/>
    <n v="0"/>
    <n v="0"/>
    <n v="0"/>
    <n v="0"/>
    <n v="32.193629821255172"/>
    <n v="0"/>
    <n v="0"/>
    <n v="235.3743407854995"/>
    <n v="0"/>
    <n v="0"/>
    <n v="0"/>
    <n v="2.4032336214468657"/>
    <n v="0"/>
    <n v="0"/>
    <m/>
    <n v="0"/>
    <n v="0"/>
    <n v="0"/>
    <n v="0"/>
    <n v="0"/>
    <n v="-0.66472518698327754"/>
    <n v="0"/>
    <n v="0"/>
    <m/>
    <m/>
    <m/>
    <n v="2189.3388589601582"/>
    <n v="0"/>
    <n v="0"/>
    <n v="-926.70659999999998"/>
    <n v="235.37880000000018"/>
    <n v="0"/>
    <n v="0"/>
    <n v="-960.62126062918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"/>
    <s v="Refaturamento - 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-0.22600000000000001"/>
    <n v="-0.22600000000000001"/>
    <n v="-0.22600000000000001"/>
    <n v="-0.22600000000000001"/>
    <m/>
    <n v="345.46"/>
    <n v="215.17"/>
    <m/>
    <n v="-126.70238000000001"/>
    <n v="-126.70238000000001"/>
    <n v="-108.66079999999999"/>
    <n v="0"/>
    <n v="0"/>
    <n v="0"/>
    <n v="0"/>
    <n v="0"/>
    <n v="-20.185320493552577"/>
    <n v="-57.135171146073411"/>
    <n v="-47.632197894133391"/>
    <n v="-0.99597622230475913"/>
    <n v="0"/>
    <n v="0"/>
    <n v="0"/>
    <n v="0"/>
    <n v="0"/>
    <m/>
    <n v="-0.26609183021793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8633720676847031"/>
    <n v="0"/>
    <n v="0"/>
    <n v="0"/>
    <n v="-32.090000000000003"/>
    <n v="0"/>
    <m/>
    <m/>
    <m/>
    <m/>
    <m/>
    <m/>
    <m/>
    <n v="-10.868339999999995"/>
    <m/>
    <n v="-48.118535100901859"/>
    <m/>
    <m/>
    <m/>
    <m/>
    <m/>
    <m/>
    <m/>
    <m/>
    <m/>
    <m/>
    <m/>
    <m/>
    <n v="-99.523300000000006"/>
    <n v="14.477259999999987"/>
    <m/>
    <m/>
    <m/>
    <m/>
    <n v="24.184259999999998"/>
    <n v="-6.1426800000000021"/>
    <n v="30"/>
    <n v="-7.0280905615837668"/>
    <n v="0"/>
    <n v="0"/>
    <n v="0"/>
    <n v="0"/>
    <n v="0"/>
    <n v="0"/>
    <n v="0"/>
    <n v="-0.84015708309511083"/>
    <n v="0"/>
    <n v="0"/>
    <n v="-6.14256362788948"/>
    <n v="0"/>
    <n v="0"/>
    <n v="0"/>
    <n v="-6.2717182268705762E-2"/>
    <n v="0"/>
    <n v="0"/>
    <m/>
    <n v="0"/>
    <n v="0"/>
    <n v="0"/>
    <n v="0"/>
    <n v="0"/>
    <n v="1.7347331669540472E-2"/>
    <n v="0"/>
    <n v="0"/>
    <m/>
    <m/>
    <m/>
    <n v="-57.135171146073411"/>
    <n v="0"/>
    <n v="0"/>
    <n v="24.184260000000002"/>
    <n v="-6.1426799999999986"/>
    <n v="0"/>
    <n v="0"/>
    <n v="25.069330820114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9179999999999999"/>
    <n v="1.9179999999999999"/>
    <n v="1.9179999999999999"/>
    <n v="1.9179999999999999"/>
    <m/>
    <n v="345.46"/>
    <n v="215.17"/>
    <m/>
    <n v="1075.2883400000001"/>
    <n v="1075.2883400000001"/>
    <n v="922.17439999999988"/>
    <n v="0"/>
    <n v="0"/>
    <n v="0"/>
    <n v="0"/>
    <n v="0"/>
    <n v="171.3072774629816"/>
    <n v="484.89052326623357"/>
    <n v="404.24139628737981"/>
    <n v="8.4525769662855215"/>
    <n v="0"/>
    <n v="0"/>
    <n v="0"/>
    <n v="0"/>
    <n v="0"/>
    <m/>
    <n v="2.2582483644159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274104539023275"/>
    <n v="0"/>
    <n v="0"/>
    <n v="0"/>
    <n v="529.29999999999995"/>
    <n v="30"/>
    <m/>
    <m/>
    <m/>
    <m/>
    <m/>
    <m/>
    <m/>
    <m/>
    <m/>
    <n v="408.36880674128213"/>
    <m/>
    <m/>
    <m/>
    <m/>
    <m/>
    <m/>
    <m/>
    <m/>
    <m/>
    <m/>
    <m/>
    <m/>
    <n v="923.13599999999997"/>
    <n v="-152.18234000000007"/>
    <m/>
    <m/>
    <m/>
    <m/>
    <n v="-205.24517999999998"/>
    <n v="52.131240000000012"/>
    <n v="30"/>
    <n v="59.645476535918874"/>
    <n v="0"/>
    <n v="0"/>
    <n v="0"/>
    <n v="0"/>
    <n v="0"/>
    <n v="0"/>
    <n v="0"/>
    <n v="7.1301826786567517"/>
    <n v="0"/>
    <n v="0"/>
    <n v="52.130252381823084"/>
    <n v="0"/>
    <n v="0"/>
    <n v="0"/>
    <n v="0.53226352031582991"/>
    <n v="0"/>
    <n v="0"/>
    <m/>
    <n v="0"/>
    <n v="0"/>
    <n v="0"/>
    <n v="0"/>
    <n v="0"/>
    <n v="-0.14722204487689705"/>
    <n v="0"/>
    <n v="0"/>
    <m/>
    <m/>
    <m/>
    <n v="484.89052326623357"/>
    <n v="0"/>
    <n v="0"/>
    <n v="-205.24518"/>
    <n v="52.131239999999991"/>
    <n v="0"/>
    <n v="0"/>
    <n v="-212.75653324327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"/>
    <s v="Refaturamento - 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-8.9999999999999993E-3"/>
    <n v="-8.9999999999999993E-3"/>
    <n v="-8.9999999999999993E-3"/>
    <n v="-8.9999999999999993E-3"/>
    <m/>
    <n v="345.46"/>
    <n v="215.17"/>
    <m/>
    <n v="-5.0456699999999994"/>
    <n v="-5.0456699999999994"/>
    <n v="-4.3271999999999995"/>
    <n v="0"/>
    <n v="0"/>
    <n v="0"/>
    <n v="0"/>
    <n v="0"/>
    <n v="-0.80384019664589901"/>
    <n v="-2.2752944261710648"/>
    <n v="-1.896857438261949"/>
    <n v="-3.9662769914791285E-2"/>
    <n v="0"/>
    <n v="0"/>
    <n v="0"/>
    <n v="0"/>
    <n v="0"/>
    <m/>
    <n v="-1.05965773095636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9367410889009878E-2"/>
    <n v="0"/>
    <n v="0"/>
    <n v="0"/>
    <n v="-3.53"/>
    <n v="0"/>
    <m/>
    <m/>
    <m/>
    <m/>
    <m/>
    <m/>
    <m/>
    <m/>
    <m/>
    <n v="-1.9162248491509588"/>
    <m/>
    <m/>
    <m/>
    <m/>
    <m/>
    <m/>
    <m/>
    <m/>
    <m/>
    <m/>
    <m/>
    <m/>
    <n v="-4.8079999999999998"/>
    <n v="0.20767000000000024"/>
    <m/>
    <m/>
    <m/>
    <m/>
    <n v="0.96308999999999989"/>
    <n v="-0.24462000000000003"/>
    <n v="30"/>
    <n v="-0.27987971262944145"/>
    <n v="0"/>
    <n v="0"/>
    <n v="0"/>
    <n v="0"/>
    <n v="0"/>
    <n v="0"/>
    <n v="0"/>
    <n v="-3.3457582955115139E-2"/>
    <n v="0"/>
    <n v="0"/>
    <n v="-0.24461536571241305"/>
    <n v="0"/>
    <n v="0"/>
    <n v="0"/>
    <n v="-2.4975869045059836E-3"/>
    <n v="0"/>
    <n v="0"/>
    <m/>
    <n v="0"/>
    <n v="0"/>
    <n v="0"/>
    <n v="0"/>
    <n v="0"/>
    <n v="6.9082294259232256E-4"/>
    <n v="0"/>
    <n v="0"/>
    <m/>
    <m/>
    <m/>
    <n v="-2.2752944261710648"/>
    <n v="0"/>
    <n v="0"/>
    <n v="0.96308999999999978"/>
    <n v="-0.24462000000000006"/>
    <n v="0"/>
    <n v="0"/>
    <n v="0.99833618310191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"/>
    <s v="Regular"/>
    <s v="Convencional"/>
    <s v="B3"/>
    <s v="Industrial"/>
    <s v="Não se aplica"/>
    <s v="Não se aplica"/>
    <s v="Não se aplica"/>
    <s v="Não se aplica"/>
    <s v="CATIVO"/>
    <x v="0"/>
    <n v="0"/>
    <n v="0"/>
    <n v="19.715"/>
    <n v="19.715"/>
    <n v="19.715"/>
    <n v="19.715"/>
    <m/>
    <n v="415.98"/>
    <n v="215.17"/>
    <m/>
    <n v="12443.12225"/>
    <n v="12443.12225"/>
    <n v="10814.4661"/>
    <n v="0"/>
    <n v="1204.3222814269006"/>
    <n v="0"/>
    <n v="0"/>
    <n v="0"/>
    <n v="1760.8566085415446"/>
    <n v="4984.1588457736161"/>
    <n v="4155.1715994815922"/>
    <n v="86.883500985567807"/>
    <n v="0"/>
    <n v="0"/>
    <n v="0"/>
    <n v="0"/>
    <n v="186.09868493595016"/>
    <m/>
    <n v="23.2123912953386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425389519647752"/>
    <n v="0"/>
    <n v="0"/>
    <n v="0"/>
    <n v="5129.2299999999996"/>
    <n v="40"/>
    <m/>
    <m/>
    <m/>
    <m/>
    <m/>
    <m/>
    <m/>
    <m/>
    <m/>
    <n v="4197.5969890012402"/>
    <m/>
    <m/>
    <m/>
    <m/>
    <m/>
    <m/>
    <m/>
    <m/>
    <m/>
    <m/>
    <m/>
    <m/>
    <n v="10817.2088"/>
    <n v="-1625.9434500000007"/>
    <m/>
    <m/>
    <m/>
    <m/>
    <n v="-2164.5098500000004"/>
    <n v="535.85370000000012"/>
    <n v="30"/>
    <n v="558.20841498724167"/>
    <n v="0"/>
    <n v="0"/>
    <n v="0"/>
    <n v="0"/>
    <n v="0"/>
    <n v="0"/>
    <n v="0"/>
    <n v="73.290694217788086"/>
    <n v="0"/>
    <n v="0"/>
    <n v="535.84354833557973"/>
    <n v="0"/>
    <n v="0"/>
    <n v="0"/>
    <n v="5.4711028691483818"/>
    <n v="0"/>
    <n v="-48.966536487154372"/>
    <m/>
    <n v="0"/>
    <n v="0"/>
    <n v="0"/>
    <n v="0"/>
    <n v="-5.9171079133199385"/>
    <n v="-1.5132860348008457"/>
    <n v="0"/>
    <n v="0"/>
    <m/>
    <m/>
    <m/>
    <n v="4984.1588457736161"/>
    <n v="0"/>
    <n v="0"/>
    <n v="-2164.5098500000004"/>
    <n v="535.85369999999966"/>
    <n v="0"/>
    <n v="0"/>
    <n v="-2186.9108722060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13.798999999999999"/>
    <n v="13.798999999999999"/>
    <n v="13.798999999999999"/>
    <n v="13.798999999999999"/>
    <m/>
    <n v="415.98"/>
    <n v="215.17"/>
    <m/>
    <n v="8709.2388499999997"/>
    <n v="8709.2388499999997"/>
    <n v="7569.3034600000001"/>
    <n v="0"/>
    <n v="842.93396710168918"/>
    <n v="0"/>
    <n v="0"/>
    <n v="0"/>
    <n v="1232.4656526129736"/>
    <n v="3488.531976303836"/>
    <n v="2908.3039767307373"/>
    <n v="60.811840228245003"/>
    <n v="0"/>
    <n v="0"/>
    <n v="0"/>
    <n v="0"/>
    <n v="130.25492028562903"/>
    <m/>
    <n v="16.246907810518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94544761938591"/>
    <n v="0"/>
    <n v="0"/>
    <n v="0"/>
    <n v="4345.24"/>
    <n v="4"/>
    <m/>
    <m/>
    <m/>
    <m/>
    <m/>
    <m/>
    <m/>
    <m/>
    <m/>
    <n v="2937.998521492676"/>
    <m/>
    <m/>
    <m/>
    <m/>
    <m/>
    <m/>
    <m/>
    <m/>
    <m/>
    <m/>
    <m/>
    <m/>
    <n v="7569.8520000000008"/>
    <n v="-1139.4168499999996"/>
    <m/>
    <m/>
    <m/>
    <m/>
    <n v="-1514.9922100000001"/>
    <n v="375.05682000000007"/>
    <n v="30"/>
    <n v="390.70341965046555"/>
    <n v="0"/>
    <n v="0"/>
    <n v="0"/>
    <n v="0"/>
    <n v="0"/>
    <n v="0"/>
    <n v="0"/>
    <n v="51.297909688625623"/>
    <n v="0"/>
    <n v="0"/>
    <n v="375.04971460728711"/>
    <n v="0"/>
    <n v="0"/>
    <n v="0"/>
    <n v="3.8293557439197805"/>
    <n v="0"/>
    <n v="-34.272849961260135"/>
    <m/>
    <n v="0"/>
    <n v="0"/>
    <n v="0"/>
    <n v="0"/>
    <n v="-4.1415253409029589"/>
    <n v="-1.0591850872034936"/>
    <n v="0"/>
    <n v="0"/>
    <m/>
    <m/>
    <m/>
    <n v="3488.531976303836"/>
    <n v="0"/>
    <n v="0"/>
    <n v="-1514.9922099999994"/>
    <n v="375.05682000000024"/>
    <n v="0"/>
    <n v="0"/>
    <n v="-1530.671221180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Ponta"/>
    <s v="CATIVO"/>
    <x v="0"/>
    <n v="0"/>
    <n v="0"/>
    <n v="125.227"/>
    <n v="125.227"/>
    <n v="125.227"/>
    <n v="125.227"/>
    <m/>
    <n v="2184.0300000000002"/>
    <n v="215.17"/>
    <m/>
    <n v="300444.61840000004"/>
    <n v="300444.61840000004"/>
    <n v="226709.70853"/>
    <n v="0"/>
    <n v="6655.231535000471"/>
    <n v="0"/>
    <n v="0"/>
    <n v="0"/>
    <n v="82523.874967559517"/>
    <n v="182947.64018332399"/>
    <n v="26393.085157914345"/>
    <n v="551.87218756884101"/>
    <n v="0"/>
    <n v="0"/>
    <n v="0"/>
    <n v="0"/>
    <n v="1182.0735489969177"/>
    <m/>
    <n v="86.390681855676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0449881054827"/>
    <n v="0"/>
    <n v="0"/>
    <n v="0"/>
    <n v="0"/>
    <n v="0"/>
    <m/>
    <m/>
    <m/>
    <m/>
    <m/>
    <m/>
    <m/>
    <m/>
    <m/>
    <n v="26497.130146019826"/>
    <m/>
    <m/>
    <m/>
    <m/>
    <m/>
    <m/>
    <m/>
    <m/>
    <m/>
    <m/>
    <m/>
    <m/>
    <n v="226715.1397"/>
    <n v="-73729.508700000064"/>
    <m/>
    <m/>
    <m/>
    <m/>
    <n v="-77138.579730000027"/>
    <n v="3403.6698600000009"/>
    <n v="30"/>
    <n v="6538.0348005578999"/>
    <n v="0"/>
    <n v="0"/>
    <n v="0"/>
    <n v="0"/>
    <n v="0"/>
    <n v="0"/>
    <n v="0"/>
    <n v="3434.8237423624669"/>
    <n v="0"/>
    <n v="0"/>
    <n v="3403.6053780075927"/>
    <n v="0"/>
    <n v="0"/>
    <n v="0"/>
    <n v="13.417456843402675"/>
    <n v="0"/>
    <n v="-270.59504155560171"/>
    <m/>
    <n v="0"/>
    <n v="0"/>
    <n v="0"/>
    <n v="0"/>
    <n v="-37.58466511089614"/>
    <n v="-5.6320699890742816"/>
    <n v="0"/>
    <n v="0"/>
    <m/>
    <m/>
    <m/>
    <n v="182947.64018332399"/>
    <n v="0"/>
    <n v="0"/>
    <n v="-77138.579730000027"/>
    <n v="3403.6698599999982"/>
    <n v="0"/>
    <n v="0"/>
    <n v="-80272.35803301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Fora ponta"/>
    <s v="CATIVO"/>
    <x v="0"/>
    <n v="0"/>
    <n v="0"/>
    <n v="1478.0909999999999"/>
    <n v="1478.0909999999999"/>
    <n v="1478.0909999999999"/>
    <n v="1478.0909999999999"/>
    <m/>
    <n v="64.11"/>
    <n v="215.17"/>
    <m/>
    <n v="412801.25447999995"/>
    <n v="412801.25447999995"/>
    <n v="449428.34945999994"/>
    <n v="0"/>
    <n v="78553.649251362571"/>
    <n v="0"/>
    <n v="0"/>
    <n v="0"/>
    <n v="0"/>
    <n v="0"/>
    <n v="311525.32308644918"/>
    <n v="6513.9092495693076"/>
    <n v="0"/>
    <n v="0"/>
    <n v="0"/>
    <n v="0"/>
    <n v="13952.360705841415"/>
    <m/>
    <n v="1019.69454937624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8.0735026297923"/>
    <n v="0"/>
    <n v="0"/>
    <n v="0"/>
    <n v="0"/>
    <n v="0"/>
    <m/>
    <m/>
    <m/>
    <m/>
    <m/>
    <m/>
    <m/>
    <m/>
    <m/>
    <n v="312753.396589079"/>
    <m/>
    <m/>
    <m/>
    <m/>
    <m/>
    <m/>
    <m/>
    <m/>
    <m/>
    <m/>
    <m/>
    <m/>
    <n v="449428.0454"/>
    <n v="36626.760920000088"/>
    <m/>
    <m/>
    <m/>
    <m/>
    <n v="-3547.4183999999977"/>
    <n v="40174.513380000004"/>
    <n v="30"/>
    <n v="36628.110041916952"/>
    <n v="0"/>
    <n v="0"/>
    <n v="0"/>
    <n v="0"/>
    <n v="0"/>
    <n v="0"/>
    <n v="0"/>
    <n v="0"/>
    <n v="0"/>
    <n v="0"/>
    <n v="40173.752280136221"/>
    <n v="0"/>
    <n v="0"/>
    <n v="0"/>
    <n v="158.37017738284794"/>
    <n v="0"/>
    <n v="-3193.9126192271797"/>
    <m/>
    <n v="0"/>
    <n v="0"/>
    <n v="0"/>
    <n v="0"/>
    <n v="-443.62282286111986"/>
    <n v="-66.476973513865119"/>
    <n v="0"/>
    <n v="0"/>
    <m/>
    <m/>
    <m/>
    <n v="0"/>
    <n v="0"/>
    <n v="0"/>
    <n v="-3547.418399999995"/>
    <n v="40174.51338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Não se aplica"/>
    <s v="CATIVO"/>
    <x v="0"/>
    <n v="5380"/>
    <n v="5380"/>
    <n v="0"/>
    <n v="0"/>
    <n v="0"/>
    <n v="0"/>
    <n v="28.04"/>
    <m/>
    <m/>
    <n v="150855.19999999998"/>
    <m/>
    <n v="150855.19999999998"/>
    <n v="113302.79999999999"/>
    <n v="0"/>
    <n v="0"/>
    <n v="0"/>
    <n v="0"/>
    <n v="0"/>
    <n v="59560.244382433128"/>
    <n v="91321.7334635408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9370.5"/>
    <n v="14"/>
    <m/>
    <m/>
    <m/>
    <m/>
    <m/>
    <m/>
    <m/>
    <m/>
    <m/>
    <n v="0"/>
    <m/>
    <m/>
    <m/>
    <m/>
    <m/>
    <m/>
    <m/>
    <m/>
    <m/>
    <m/>
    <m/>
    <m/>
    <n v="113302.79999999999"/>
    <n v="-37552.430000000022"/>
    <m/>
    <m/>
    <m/>
    <m/>
    <n v="-37552.400000000001"/>
    <n v="0"/>
    <n v="30"/>
    <n v="2479.0273310128832"/>
    <n v="0"/>
    <n v="0"/>
    <n v="0"/>
    <n v="0"/>
    <m/>
    <m/>
    <m/>
    <n v="2479.02733101288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21.733463540833"/>
    <m/>
    <n v="0"/>
    <n v="0"/>
    <n v="-37552.399999999994"/>
    <m/>
    <n v="0"/>
    <m/>
    <n v="-40069.447615913843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17"/>
    <s v="Regular"/>
    <s v="Convencional"/>
    <s v="B3"/>
    <s v="Comercial"/>
    <s v="Não se aplica"/>
    <s v="Não se aplica"/>
    <s v="Não se aplica"/>
    <s v="Não se aplica"/>
    <s v="CATIVO"/>
    <x v="0"/>
    <n v="0"/>
    <n v="0"/>
    <n v="158.066"/>
    <n v="158.066"/>
    <n v="158.066"/>
    <n v="158.066"/>
    <m/>
    <n v="415.98"/>
    <n v="215.17"/>
    <m/>
    <n v="99763.355899999995"/>
    <n v="99763.355899999995"/>
    <n v="86705.523639999999"/>
    <n v="0"/>
    <n v="9655.714214355794"/>
    <n v="0"/>
    <n v="0"/>
    <n v="0"/>
    <n v="14117.756058114521"/>
    <n v="39960.743196350617"/>
    <n v="33314.296426257031"/>
    <n v="696.59282103904445"/>
    <n v="0"/>
    <n v="0"/>
    <n v="0"/>
    <n v="0"/>
    <n v="1492.0555279272585"/>
    <m/>
    <n v="186.10650989038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.14768550913726"/>
    <n v="0"/>
    <n v="0"/>
    <n v="0"/>
    <n v="40546.379999999997"/>
    <n v="444"/>
    <m/>
    <m/>
    <m/>
    <m/>
    <m/>
    <m/>
    <m/>
    <m/>
    <m/>
    <n v="33654.44411176617"/>
    <m/>
    <m/>
    <m/>
    <m/>
    <m/>
    <m/>
    <m/>
    <m/>
    <m/>
    <m/>
    <m/>
    <m/>
    <n v="86707.717799999999"/>
    <n v="-13055.668099999981"/>
    <m/>
    <m/>
    <m/>
    <m/>
    <n v="-17354.066140000003"/>
    <n v="4296.2338800000016"/>
    <n v="30"/>
    <n v="4475.4639271302658"/>
    <n v="0"/>
    <n v="0"/>
    <n v="0"/>
    <n v="0"/>
    <n v="0"/>
    <n v="0"/>
    <n v="0"/>
    <n v="587.61181193146876"/>
    <n v="0"/>
    <n v="0"/>
    <n v="4296.1524885220279"/>
    <n v="0"/>
    <n v="0"/>
    <n v="0"/>
    <n v="43.864841294182554"/>
    <n v="0"/>
    <n v="-392.59165895909427"/>
    <m/>
    <n v="0"/>
    <n v="0"/>
    <n v="0"/>
    <n v="0"/>
    <n v="-47.440709075669929"/>
    <n v="-12.132846582644191"/>
    <n v="0"/>
    <n v="0"/>
    <m/>
    <m/>
    <m/>
    <n v="39960.743196350617"/>
    <n v="0"/>
    <n v="0"/>
    <n v="-17354.066140000003"/>
    <n v="4296.233880000007"/>
    <n v="0"/>
    <n v="0"/>
    <n v="-17533.667457576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14.866"/>
    <n v="14.866"/>
    <n v="14.866"/>
    <n v="14.866"/>
    <m/>
    <n v="415.98"/>
    <n v="215.17"/>
    <m/>
    <n v="9382.6758999999984"/>
    <n v="9382.6758999999984"/>
    <n v="8154.5956399999995"/>
    <n v="0"/>
    <n v="908.11336726818695"/>
    <n v="0"/>
    <n v="0"/>
    <n v="0"/>
    <n v="1327.7653737042151"/>
    <n v="3758.2807710510056"/>
    <n v="3133.1869641335707"/>
    <n v="65.514081950365252"/>
    <n v="0"/>
    <n v="0"/>
    <n v="0"/>
    <n v="0"/>
    <n v="140.32680954896449"/>
    <m/>
    <n v="17.503190920441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990658919557873"/>
    <n v="0"/>
    <n v="0"/>
    <n v="0"/>
    <n v="4876.5600000000004"/>
    <n v="8"/>
    <m/>
    <m/>
    <m/>
    <m/>
    <m/>
    <m/>
    <m/>
    <m/>
    <m/>
    <n v="3165.1776230531286"/>
    <m/>
    <m/>
    <m/>
    <m/>
    <m/>
    <m/>
    <m/>
    <m/>
    <m/>
    <m/>
    <m/>
    <m/>
    <n v="8156.7897999999996"/>
    <n v="-1225.9160999999995"/>
    <m/>
    <m/>
    <m/>
    <m/>
    <n v="-1632.1381400000002"/>
    <n v="404.05788000000007"/>
    <n v="30"/>
    <n v="420.91434426580327"/>
    <n v="0"/>
    <n v="0"/>
    <n v="0"/>
    <n v="0"/>
    <n v="0"/>
    <n v="0"/>
    <n v="0"/>
    <n v="55.264492023415642"/>
    <n v="0"/>
    <n v="0"/>
    <n v="404.05022518674787"/>
    <n v="0"/>
    <n v="0"/>
    <n v="0"/>
    <n v="4.1254585469317675"/>
    <n v="0"/>
    <n v="-36.92297902196492"/>
    <m/>
    <n v="0"/>
    <n v="0"/>
    <n v="0"/>
    <n v="0"/>
    <n v="-4.4617664843730154"/>
    <n v="-1.141085984953051"/>
    <n v="0"/>
    <n v="0"/>
    <m/>
    <m/>
    <m/>
    <n v="3758.2807710510056"/>
    <n v="0"/>
    <n v="0"/>
    <n v="-1632.13814"/>
    <n v="404.0578800000003"/>
    <n v="0"/>
    <n v="0"/>
    <n v="-1649.0295219992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"/>
    <s v="Regular"/>
    <s v="Verde"/>
    <s v="A4"/>
    <s v="Comercial"/>
    <s v="Não se aplica"/>
    <s v="Não se aplica"/>
    <s v="Não se aplica"/>
    <s v="Ponta"/>
    <s v="CATIVO"/>
    <x v="0"/>
    <n v="0"/>
    <n v="0"/>
    <n v="2.3650000000000002"/>
    <n v="2.3650000000000002"/>
    <n v="2.3650000000000002"/>
    <n v="2.3650000000000002"/>
    <m/>
    <n v="2184.0300000000002"/>
    <n v="215.17"/>
    <m/>
    <n v="5674.1080000000011"/>
    <n v="5674.1080000000011"/>
    <n v="4281.5723500000004"/>
    <n v="0"/>
    <n v="125.68872990869473"/>
    <n v="0"/>
    <n v="0"/>
    <n v="0"/>
    <n v="1558.5214394521811"/>
    <n v="3455.0948999302173"/>
    <n v="498.45198238772332"/>
    <n v="10.422494538720157"/>
    <n v="0"/>
    <n v="0"/>
    <n v="0"/>
    <n v="0"/>
    <n v="22.32429063522811"/>
    <m/>
    <n v="1.6315488080739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649628025063812"/>
    <n v="0"/>
    <n v="0"/>
    <n v="0"/>
    <n v="0"/>
    <n v="0"/>
    <m/>
    <m/>
    <m/>
    <m/>
    <m/>
    <m/>
    <m/>
    <m/>
    <m/>
    <n v="500.41694519022968"/>
    <m/>
    <m/>
    <m/>
    <m/>
    <m/>
    <m/>
    <m/>
    <m/>
    <m/>
    <m/>
    <m/>
    <m/>
    <n v="4290.6243000000004"/>
    <n v="-1383.5137000000013"/>
    <m/>
    <m/>
    <m/>
    <m/>
    <n v="-1456.8163500000007"/>
    <n v="64.280700000000024"/>
    <n v="30"/>
    <n v="123.47538712353889"/>
    <n v="0"/>
    <n v="0"/>
    <n v="0"/>
    <n v="0"/>
    <n v="0"/>
    <n v="0"/>
    <n v="0"/>
    <n v="64.869062987113239"/>
    <n v="0"/>
    <n v="0"/>
    <n v="64.27948221220629"/>
    <n v="0"/>
    <n v="0"/>
    <n v="0"/>
    <n v="0.25339811250486965"/>
    <n v="0"/>
    <n v="-5.1103777402556858"/>
    <m/>
    <n v="0"/>
    <n v="0"/>
    <n v="0"/>
    <n v="0"/>
    <n v="-0.70981284377386089"/>
    <n v="-0.10636560425595643"/>
    <n v="0"/>
    <n v="0"/>
    <m/>
    <m/>
    <m/>
    <n v="3455.0948999302173"/>
    <n v="0"/>
    <n v="0"/>
    <n v="-1456.816350000001"/>
    <n v="64.280700000000081"/>
    <n v="0"/>
    <n v="0"/>
    <n v="-1515.999958060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Fora ponta"/>
    <s v="CATIVO"/>
    <x v="0"/>
    <n v="0"/>
    <n v="0"/>
    <n v="25.719000000000001"/>
    <n v="25.719000000000001"/>
    <n v="25.719000000000001"/>
    <n v="25.719000000000001"/>
    <m/>
    <n v="64.11"/>
    <n v="215.17"/>
    <m/>
    <n v="7182.8023199999998"/>
    <n v="7182.8023199999998"/>
    <n v="7820.1191399999998"/>
    <n v="0"/>
    <n v="1366.8450082544268"/>
    <n v="0"/>
    <n v="0"/>
    <n v="0"/>
    <n v="0"/>
    <n v="0"/>
    <n v="5420.5862727398971"/>
    <n v="113.34297549316858"/>
    <n v="0"/>
    <n v="0"/>
    <n v="0"/>
    <n v="0"/>
    <n v="242.77312086572167"/>
    <m/>
    <n v="17.742834585561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368658908102162"/>
    <n v="0"/>
    <n v="0"/>
    <n v="0"/>
    <n v="0"/>
    <n v="0"/>
    <m/>
    <m/>
    <m/>
    <m/>
    <m/>
    <m/>
    <m/>
    <m/>
    <m/>
    <n v="5441.9549316479997"/>
    <m/>
    <m/>
    <m/>
    <m/>
    <m/>
    <m/>
    <m/>
    <m/>
    <m/>
    <m/>
    <m/>
    <m/>
    <n v="7820.4231999999993"/>
    <n v="637.59087999999883"/>
    <m/>
    <m/>
    <m/>
    <m/>
    <n v="-61.725599999999964"/>
    <n v="699.04242000000022"/>
    <n v="30"/>
    <n v="637.3344822261015"/>
    <n v="0"/>
    <n v="0"/>
    <n v="0"/>
    <n v="0"/>
    <n v="0"/>
    <n v="0"/>
    <n v="0"/>
    <n v="0"/>
    <n v="0"/>
    <n v="0"/>
    <n v="699.02917675083791"/>
    <n v="0"/>
    <n v="0"/>
    <n v="0"/>
    <n v="2.7556642940857294"/>
    <n v="0"/>
    <n v="-55.574547611685375"/>
    <m/>
    <n v="0"/>
    <n v="0"/>
    <n v="0"/>
    <n v="0"/>
    <n v="-7.7191021264354731"/>
    <n v="-1.1567090807014573"/>
    <n v="0"/>
    <n v="0"/>
    <m/>
    <m/>
    <m/>
    <n v="0"/>
    <n v="0"/>
    <n v="0"/>
    <n v="-61.725599999999986"/>
    <n v="699.04241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Não se aplica"/>
    <s v="CATIVO"/>
    <x v="0"/>
    <n v="98"/>
    <n v="98"/>
    <n v="0"/>
    <n v="0"/>
    <n v="0"/>
    <n v="0"/>
    <n v="28.04"/>
    <m/>
    <m/>
    <n v="2747.92"/>
    <m/>
    <n v="2747.92"/>
    <n v="2063.8799999999997"/>
    <n v="0"/>
    <n v="0"/>
    <n v="0"/>
    <n v="0"/>
    <n v="0"/>
    <n v="1084.9263846614213"/>
    <n v="1663.48139022806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875.89"/>
    <n v="1"/>
    <m/>
    <m/>
    <m/>
    <m/>
    <m/>
    <m/>
    <m/>
    <m/>
    <m/>
    <n v="0"/>
    <m/>
    <m/>
    <m/>
    <m/>
    <m/>
    <m/>
    <m/>
    <m/>
    <m/>
    <m/>
    <m/>
    <m/>
    <n v="2063.8799999999997"/>
    <n v="-684.07000000000107"/>
    <m/>
    <m/>
    <m/>
    <m/>
    <n v="-684.04000000000008"/>
    <n v="0"/>
    <n v="30"/>
    <n v="45.157003427372274"/>
    <n v="0"/>
    <n v="0"/>
    <n v="0"/>
    <n v="0"/>
    <m/>
    <m/>
    <m/>
    <n v="45.1570034273722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63.4813902280673"/>
    <m/>
    <n v="0"/>
    <n v="0"/>
    <n v="-684.04000000000042"/>
    <m/>
    <n v="0"/>
    <m/>
    <n v="-729.88956623783588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22"/>
    <s v="Regular"/>
    <s v="Branca"/>
    <s v="B3"/>
    <s v="Comercial"/>
    <s v="Não se aplica"/>
    <s v="Não se aplica"/>
    <s v="Não se aplica"/>
    <s v="Ponta"/>
    <s v="CATIVO"/>
    <x v="0"/>
    <n v="0"/>
    <n v="0"/>
    <n v="0.05"/>
    <n v="0.05"/>
    <n v="0.05"/>
    <n v="0.05"/>
    <m/>
    <n v="1254.27"/>
    <n v="215.17"/>
    <m/>
    <n v="73.472000000000008"/>
    <n v="73.472000000000008"/>
    <n v="56.208500000000008"/>
    <n v="0"/>
    <n v="3.0543299047093604"/>
    <n v="0"/>
    <n v="0"/>
    <n v="0"/>
    <n v="15.410789918114901"/>
    <n v="43.609797018286855"/>
    <n v="10.538096879233052"/>
    <n v="0.22034872174884051"/>
    <n v="0"/>
    <n v="0"/>
    <n v="0"/>
    <n v="0"/>
    <n v="0.47197231786951604"/>
    <m/>
    <n v="5.88698739420205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7596727161166"/>
    <n v="0"/>
    <n v="0"/>
    <n v="0"/>
    <n v="0"/>
    <n v="0"/>
    <m/>
    <m/>
    <m/>
    <m/>
    <m/>
    <m/>
    <m/>
    <m/>
    <m/>
    <n v="10.645693606394218"/>
    <m/>
    <m/>
    <m/>
    <m/>
    <m/>
    <m/>
    <m/>
    <m/>
    <m/>
    <m/>
    <m/>
    <m/>
    <n v="56.208500000000008"/>
    <n v="-17.293500000000002"/>
    <m/>
    <m/>
    <m/>
    <m/>
    <n v="-18.622499999999999"/>
    <n v="1.3590000000000004"/>
    <n v="30"/>
    <n v="1.871249928463353"/>
    <n v="0"/>
    <n v="0"/>
    <n v="0"/>
    <n v="0"/>
    <n v="0"/>
    <n v="0"/>
    <n v="0"/>
    <n v="0.64143070257075152"/>
    <n v="0"/>
    <n v="0"/>
    <n v="1.3589742539578484"/>
    <n v="0"/>
    <n v="0"/>
    <n v="0"/>
    <n v="1.3875482802811007E-2"/>
    <n v="0"/>
    <n v="-0.12418599159816024"/>
    <m/>
    <n v="0"/>
    <n v="0"/>
    <n v="0"/>
    <n v="0"/>
    <n v="-1.5006614033274024E-2"/>
    <n v="-3.8379052366240077E-3"/>
    <n v="0"/>
    <n v="0"/>
    <m/>
    <m/>
    <m/>
    <n v="43.609797018286855"/>
    <n v="0"/>
    <n v="0"/>
    <n v="-18.622499999999995"/>
    <n v="1.359"/>
    <n v="0"/>
    <n v="0"/>
    <n v="-19.13477121919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Fora ponta"/>
    <s v="CATIVO"/>
    <x v="0"/>
    <n v="0"/>
    <n v="0"/>
    <n v="0.54100000000000004"/>
    <n v="0.54100000000000004"/>
    <n v="0.54100000000000004"/>
    <n v="0.54100000000000004"/>
    <m/>
    <n v="309.91000000000003"/>
    <n v="215.17"/>
    <m/>
    <n v="284.06828000000002"/>
    <n v="284.06828000000002"/>
    <n v="257.3537"/>
    <n v="0"/>
    <n v="33.047849568955279"/>
    <n v="0"/>
    <n v="0"/>
    <n v="0"/>
    <n v="33.334618689056903"/>
    <n v="94.371690216118367"/>
    <n v="114.02220823330161"/>
    <n v="2.3841731693224544"/>
    <n v="0"/>
    <n v="0"/>
    <n v="0"/>
    <n v="0"/>
    <n v="5.1067404793481632"/>
    <m/>
    <n v="0.6369720360526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41965878838161"/>
    <n v="0"/>
    <n v="0"/>
    <n v="0"/>
    <n v="0"/>
    <n v="0"/>
    <m/>
    <m/>
    <m/>
    <m/>
    <m/>
    <m/>
    <m/>
    <m/>
    <m/>
    <n v="115.18640482118543"/>
    <m/>
    <m/>
    <m/>
    <m/>
    <m/>
    <m/>
    <m/>
    <m/>
    <m/>
    <m/>
    <m/>
    <m/>
    <n v="256.87799999999999"/>
    <n v="-27.220280000000002"/>
    <m/>
    <m/>
    <m/>
    <m/>
    <n v="-41.41896000000002"/>
    <n v="14.704380000000004"/>
    <n v="30"/>
    <n v="14.694103589778052"/>
    <n v="0"/>
    <n v="0"/>
    <n v="0"/>
    <n v="0"/>
    <n v="0"/>
    <n v="0"/>
    <n v="0"/>
    <n v="1.3874595656200555"/>
    <n v="0"/>
    <n v="0"/>
    <n v="14.704101427823943"/>
    <n v="0"/>
    <n v="0"/>
    <n v="0"/>
    <n v="0.15013272392641519"/>
    <n v="0"/>
    <n v="-1.3436924290920906"/>
    <m/>
    <n v="0"/>
    <n v="0"/>
    <n v="0"/>
    <n v="0"/>
    <n v="-0.16237156384002382"/>
    <n v="-4.1526134660271774E-2"/>
    <n v="0"/>
    <n v="0"/>
    <m/>
    <m/>
    <m/>
    <n v="94.371690216118367"/>
    <n v="0"/>
    <n v="0"/>
    <n v="-41.418960000000013"/>
    <n v="14.704380000000015"/>
    <n v="0"/>
    <n v="0"/>
    <n v="-41.4076841746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9.77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Intermediário"/>
    <s v="CATIVO"/>
    <x v="0"/>
    <n v="0"/>
    <n v="0"/>
    <n v="3.2000000000000001E-2"/>
    <n v="3.2000000000000001E-2"/>
    <n v="3.2000000000000001E-2"/>
    <n v="3.2000000000000001E-2"/>
    <m/>
    <n v="782.07"/>
    <n v="215.17"/>
    <m/>
    <n v="31.91168"/>
    <n v="31.91168"/>
    <n v="25.597119999999997"/>
    <n v="0"/>
    <n v="1.9547711390139906"/>
    <n v="0"/>
    <n v="0"/>
    <n v="0"/>
    <n v="5.9166131198073915"/>
    <n v="16.746159409002335"/>
    <n v="6.7443820027091528"/>
    <n v="0.14102318191925792"/>
    <n v="0"/>
    <n v="0"/>
    <n v="0"/>
    <n v="0"/>
    <n v="0.30206228343649028"/>
    <m/>
    <n v="3.767671932289311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861905383146238E-2"/>
    <n v="0"/>
    <n v="0"/>
    <n v="0"/>
    <n v="0"/>
    <n v="0"/>
    <m/>
    <m/>
    <m/>
    <m/>
    <m/>
    <m/>
    <m/>
    <m/>
    <m/>
    <n v="6.8132439080922991"/>
    <m/>
    <m/>
    <m/>
    <m/>
    <m/>
    <m/>
    <m/>
    <m/>
    <m/>
    <m/>
    <m/>
    <m/>
    <n v="23.997299999999996"/>
    <n v="-7.9443800000000095"/>
    <m/>
    <m/>
    <m/>
    <m/>
    <n v="-7.1843200000000031"/>
    <n v="0.8697600000000002"/>
    <n v="30"/>
    <n v="1.0333466526041928"/>
    <n v="0"/>
    <n v="0"/>
    <n v="0"/>
    <n v="0"/>
    <n v="0"/>
    <n v="0"/>
    <n v="0"/>
    <n v="0.24626234803292846"/>
    <n v="0"/>
    <n v="0"/>
    <n v="0.86974352253302367"/>
    <n v="0"/>
    <n v="0"/>
    <n v="0"/>
    <n v="8.8803089937990465E-3"/>
    <n v="0"/>
    <n v="-7.9479034622822464E-2"/>
    <m/>
    <n v="0"/>
    <n v="0"/>
    <n v="0"/>
    <n v="0"/>
    <n v="-9.6042329812953686E-3"/>
    <n v="-2.4562593514393591E-3"/>
    <n v="0"/>
    <n v="0"/>
    <m/>
    <m/>
    <m/>
    <n v="16.746159409002335"/>
    <n v="0"/>
    <n v="0"/>
    <n v="-7.1843200000000031"/>
    <n v="0.86976000000000031"/>
    <n v="0"/>
    <n v="0"/>
    <n v="-7.347750987169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"/>
    <s v="Regular"/>
    <s v="Convencional"/>
    <s v="B2"/>
    <s v="Rural"/>
    <s v="Não se aplica"/>
    <s v="Não se aplica"/>
    <s v="Não se aplica"/>
    <s v="Não se aplica"/>
    <s v="CATIVO"/>
    <x v="0"/>
    <n v="0"/>
    <n v="0"/>
    <n v="370.56599999999997"/>
    <n v="370.56599999999997"/>
    <n v="370.56599999999997"/>
    <n v="370.56599999999997"/>
    <m/>
    <n v="415.98"/>
    <n v="215.17"/>
    <m/>
    <n v="233882.73089999997"/>
    <n v="233882.73089999997"/>
    <n v="203270.27363999997"/>
    <n v="0"/>
    <n v="22636.616309370573"/>
    <n v="0"/>
    <n v="0"/>
    <n v="0"/>
    <n v="33097.31625669825"/>
    <n v="93682.972703167412"/>
    <n v="78101.208162997485"/>
    <n v="1633.0748884716165"/>
    <n v="0"/>
    <n v="0"/>
    <n v="0"/>
    <n v="0"/>
    <n v="3497.9378788727013"/>
    <m/>
    <n v="436.303474143975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7.43377594409276"/>
    <n v="0"/>
    <n v="0"/>
    <n v="0"/>
    <n v="52757.54"/>
    <n v="1600"/>
    <m/>
    <m/>
    <m/>
    <m/>
    <m/>
    <n v="24390.654119999996"/>
    <m/>
    <m/>
    <m/>
    <n v="78898.641938941582"/>
    <m/>
    <m/>
    <m/>
    <m/>
    <m/>
    <m/>
    <m/>
    <m/>
    <m/>
    <m/>
    <m/>
    <m/>
    <n v="178881.55040000001"/>
    <n v="-26934.541660000017"/>
    <m/>
    <m/>
    <m/>
    <m/>
    <n v="-40684.441140000003"/>
    <n v="10071.983880000002"/>
    <n v="30"/>
    <n v="10492.166345836304"/>
    <n v="0"/>
    <n v="0"/>
    <n v="0"/>
    <n v="0"/>
    <n v="0"/>
    <n v="0"/>
    <n v="0"/>
    <n v="1377.5825205939036"/>
    <n v="0"/>
    <n v="0"/>
    <n v="10071.793067842897"/>
    <n v="0"/>
    <n v="0"/>
    <n v="0"/>
    <n v="102.83564320612925"/>
    <n v="0"/>
    <n v="-920.38212325127461"/>
    <m/>
    <n v="0"/>
    <n v="0"/>
    <n v="0"/>
    <n v="0"/>
    <n v="-111.2188187170841"/>
    <n v="-28.443943838296207"/>
    <n v="0"/>
    <n v="0"/>
    <m/>
    <m/>
    <m/>
    <n v="93682.972703167412"/>
    <n v="0"/>
    <n v="0"/>
    <n v="-40684.441139999995"/>
    <n v="10071.98388"/>
    <n v="0"/>
    <n v="0"/>
    <n v="-41105.494003038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0.499"/>
    <n v="-0.499"/>
    <n v="-0.499"/>
    <n v="-0.499"/>
    <m/>
    <n v="415.98"/>
    <n v="215.17"/>
    <m/>
    <n v="-314.94385"/>
    <n v="-314.94385"/>
    <n v="-273.72145999999998"/>
    <n v="0"/>
    <n v="-30.482212448999412"/>
    <n v="0"/>
    <n v="0"/>
    <n v="0"/>
    <n v="-44.568473125144848"/>
    <n v="-126.15243540659571"/>
    <n v="-105.17020685474584"/>
    <n v="-2.1990802430534284"/>
    <n v="0"/>
    <n v="0"/>
    <n v="0"/>
    <n v="0"/>
    <n v="-4.7102837323377695"/>
    <m/>
    <n v="-0.5875213419413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738153370684367"/>
    <n v="0"/>
    <n v="0"/>
    <n v="0"/>
    <n v="-50.86"/>
    <n v="0"/>
    <m/>
    <m/>
    <m/>
    <m/>
    <m/>
    <n v="-32.844179999999994"/>
    <m/>
    <m/>
    <m/>
    <n v="-106.24402219181428"/>
    <m/>
    <m/>
    <m/>
    <m/>
    <m/>
    <m/>
    <m/>
    <m/>
    <m/>
    <m/>
    <m/>
    <m/>
    <n v="-241.36"/>
    <n v="35.759590000000003"/>
    <m/>
    <m/>
    <m/>
    <m/>
    <n v="54.785210000000014"/>
    <n v="-13.562820000000004"/>
    <n v="30"/>
    <n v="-14.128632973808408"/>
    <n v="0"/>
    <n v="0"/>
    <n v="0"/>
    <n v="0"/>
    <n v="0"/>
    <n v="0"/>
    <n v="0"/>
    <n v="-1.8550370994002705"/>
    <n v="0"/>
    <n v="0"/>
    <n v="-13.562563054499336"/>
    <n v="0"/>
    <n v="0"/>
    <n v="0"/>
    <n v="-0.13847731837205379"/>
    <n v="0"/>
    <n v="1.2393761961496352"/>
    <m/>
    <n v="0"/>
    <n v="0"/>
    <n v="0"/>
    <n v="0"/>
    <n v="0.14976600805207418"/>
    <n v="3.8302294261507663E-2"/>
    <n v="0"/>
    <n v="0"/>
    <m/>
    <m/>
    <m/>
    <n v="-126.15243540659571"/>
    <n v="0"/>
    <n v="0"/>
    <n v="54.785210000000006"/>
    <n v="-13.562820000000002"/>
    <n v="0"/>
    <n v="0"/>
    <n v="55.352195040873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.986"/>
    <n v="1.986"/>
    <n v="1.986"/>
    <n v="1.986"/>
    <m/>
    <n v="415.98"/>
    <n v="215.17"/>
    <m/>
    <n v="1253.4639"/>
    <n v="1253.4639"/>
    <n v="1089.4004399999999"/>
    <n v="0"/>
    <n v="121.31798381505578"/>
    <n v="0"/>
    <n v="0"/>
    <n v="0"/>
    <n v="177.3807367265284"/>
    <n v="502.08163670841498"/>
    <n v="418.57320804313679"/>
    <n v="8.7522512278639439"/>
    <n v="0"/>
    <n v="0"/>
    <n v="0"/>
    <n v="0"/>
    <n v="18.746740465777176"/>
    <m/>
    <n v="2.3383113929770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737420028415132"/>
    <n v="0"/>
    <n v="0"/>
    <n v="0"/>
    <n v="1790.16"/>
    <n v="17"/>
    <m/>
    <m/>
    <m/>
    <m/>
    <m/>
    <n v="130.71851999999998"/>
    <m/>
    <m/>
    <m/>
    <n v="422.8469500459783"/>
    <m/>
    <m/>
    <m/>
    <m/>
    <m/>
    <m/>
    <m/>
    <m/>
    <m/>
    <m/>
    <m/>
    <m/>
    <n v="960.61280000000011"/>
    <n v="-142.46145999999999"/>
    <m/>
    <m/>
    <m/>
    <m/>
    <n v="-218.04294000000004"/>
    <n v="53.979480000000017"/>
    <n v="30"/>
    <n v="56.231392957882804"/>
    <n v="0"/>
    <n v="0"/>
    <n v="0"/>
    <n v="0"/>
    <n v="0"/>
    <n v="0"/>
    <n v="0"/>
    <n v="7.3829733054287203"/>
    <n v="0"/>
    <n v="0"/>
    <n v="53.978457367205749"/>
    <n v="0"/>
    <n v="0"/>
    <n v="0"/>
    <n v="0.55113417692765321"/>
    <n v="0"/>
    <n v="-4.9326675862789102"/>
    <m/>
    <n v="0"/>
    <n v="0"/>
    <n v="0"/>
    <n v="0"/>
    <n v="-0.59606270940164308"/>
    <n v="-0.15244159599870555"/>
    <n v="0"/>
    <n v="0"/>
    <m/>
    <m/>
    <m/>
    <n v="502.08163670841498"/>
    <n v="0"/>
    <n v="0"/>
    <n v="-218.04294000000004"/>
    <n v="53.979480000000024"/>
    <n v="0"/>
    <n v="0"/>
    <n v="-220.2995177378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2.029"/>
    <n v="22.029"/>
    <n v="22.029"/>
    <n v="22.029"/>
    <m/>
    <n v="415.98"/>
    <n v="215.17"/>
    <m/>
    <n v="13903.603349999999"/>
    <n v="13903.603349999999"/>
    <n v="12083.78766"/>
    <n v="0"/>
    <n v="1345.6766694168498"/>
    <n v="0"/>
    <n v="0"/>
    <n v="0"/>
    <n v="1967.5328546569458"/>
    <n v="5569.1623237913764"/>
    <n v="4642.8747230524978"/>
    <n v="97.081239828104145"/>
    <n v="0"/>
    <n v="0"/>
    <n v="0"/>
    <n v="0"/>
    <n v="207.94156380695136"/>
    <m/>
    <n v="25.936889061375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404966052666516"/>
    <n v="0"/>
    <n v="0"/>
    <n v="0"/>
    <n v="4768.6899999999996"/>
    <n v="48"/>
    <m/>
    <m/>
    <m/>
    <m/>
    <m/>
    <m/>
    <m/>
    <m/>
    <m/>
    <n v="4690.2796891051639"/>
    <m/>
    <m/>
    <m/>
    <m/>
    <m/>
    <m/>
    <m/>
    <m/>
    <m/>
    <m/>
    <m/>
    <m/>
    <n v="12084.336200000002"/>
    <n v="-1819.2971499999985"/>
    <m/>
    <m/>
    <m/>
    <m/>
    <n v="-2418.5639100000003"/>
    <n v="598.74822000000017"/>
    <n v="30"/>
    <n v="623.72676509023222"/>
    <n v="0"/>
    <n v="0"/>
    <n v="0"/>
    <n v="0"/>
    <n v="0"/>
    <n v="0"/>
    <n v="0"/>
    <n v="81.893010546469668"/>
    <n v="0"/>
    <n v="0"/>
    <n v="598.736876808749"/>
    <n v="0"/>
    <n v="0"/>
    <n v="0"/>
    <n v="6.1132602132624712"/>
    <n v="0"/>
    <n v="-54.713864178317181"/>
    <m/>
    <n v="0"/>
    <n v="0"/>
    <n v="0"/>
    <n v="0"/>
    <n v="-6.6116140107798458"/>
    <n v="-1.6909042891518062"/>
    <n v="0"/>
    <n v="0"/>
    <m/>
    <m/>
    <m/>
    <n v="5569.1623237913764"/>
    <n v="0"/>
    <n v="0"/>
    <n v="-2418.5639099999999"/>
    <n v="598.7482200000004"/>
    <n v="0"/>
    <n v="0"/>
    <n v="-2443.59419750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96.787000000000006"/>
    <n v="96.787000000000006"/>
    <n v="96.787000000000006"/>
    <n v="96.787000000000006"/>
    <m/>
    <n v="228.79"/>
    <n v="118.34"/>
    <m/>
    <n v="33597.671310000005"/>
    <n v="33597.671310000005"/>
    <n v="29199.670030000001"/>
    <n v="0"/>
    <n v="3251.8137133581477"/>
    <n v="0"/>
    <n v="0"/>
    <n v="0"/>
    <n v="4754.5227346690781"/>
    <n v="13457.82298824451"/>
    <n v="11219.458609153569"/>
    <n v="234.59580905095575"/>
    <n v="0"/>
    <n v="0"/>
    <n v="0"/>
    <n v="0"/>
    <n v="502.48863202600575"/>
    <m/>
    <n v="62.6762233814899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55360874922494"/>
    <n v="0"/>
    <n v="0"/>
    <n v="0"/>
    <n v="15814.69"/>
    <n v="88"/>
    <m/>
    <m/>
    <m/>
    <m/>
    <m/>
    <m/>
    <m/>
    <m/>
    <m/>
    <n v="11334.012217902795"/>
    <m/>
    <m/>
    <m/>
    <m/>
    <m/>
    <m/>
    <m/>
    <m/>
    <m/>
    <m/>
    <m/>
    <m/>
    <n v="29200.575100000002"/>
    <n v="-4397.1262099999949"/>
    <m/>
    <m/>
    <m/>
    <m/>
    <n v="-5844.9669299999987"/>
    <n v="1446.965649999999"/>
    <n v="30"/>
    <n v="1507.2292581158908"/>
    <n v="0"/>
    <n v="0"/>
    <n v="0"/>
    <n v="0"/>
    <n v="0"/>
    <n v="0"/>
    <n v="0"/>
    <n v="197.89361053468292"/>
    <n v="0"/>
    <n v="0"/>
    <n v="1446.8414522960647"/>
    <n v="0"/>
    <n v="0"/>
    <n v="0"/>
    <n v="14.772629894393219"/>
    <n v="0"/>
    <n v="-132.21548525691651"/>
    <m/>
    <n v="0"/>
    <n v="0"/>
    <n v="0"/>
    <n v="0"/>
    <n v="-15.976896676824026"/>
    <n v="-4.0860526755085971"/>
    <n v="0"/>
    <n v="0"/>
    <m/>
    <m/>
    <m/>
    <n v="13457.82298824451"/>
    <n v="0"/>
    <n v="0"/>
    <n v="-5844.9669299999987"/>
    <n v="1446.9656499999983"/>
    <n v="0"/>
    <n v="0"/>
    <n v="-5904.9200316263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9.818999999999999"/>
    <n v="18.629859999999997"/>
    <n v="19.818999999999999"/>
    <n v="18.629859999999997"/>
    <m/>
    <n v="415.98"/>
    <n v="215.17"/>
    <m/>
    <n v="12508.761849999999"/>
    <n v="12508.761849999999"/>
    <n v="10871.51426"/>
    <n v="0"/>
    <n v="1210.6752876286962"/>
    <n v="0"/>
    <n v="0"/>
    <n v="0"/>
    <n v="1770.1454285916748"/>
    <n v="5010.4511369204811"/>
    <n v="4177.0908409903968"/>
    <n v="87.341826326805389"/>
    <n v="0"/>
    <n v="0"/>
    <n v="0"/>
    <n v="0"/>
    <n v="187.08038735711875"/>
    <m/>
    <n v="23.334840633138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649190712142975"/>
    <n v="0"/>
    <n v="0"/>
    <n v="0"/>
    <n v="5135.72"/>
    <n v="4"/>
    <m/>
    <m/>
    <m/>
    <m/>
    <n v="652.29085560000112"/>
    <m/>
    <m/>
    <m/>
    <m/>
    <n v="4219.7400317025395"/>
    <m/>
    <m/>
    <m/>
    <m/>
    <m/>
    <m/>
    <m/>
    <m/>
    <m/>
    <m/>
    <m/>
    <m/>
    <n v="10219.3002"/>
    <n v="-1538.9659389999997"/>
    <m/>
    <m/>
    <m/>
    <m/>
    <n v="-2175.9280100000001"/>
    <n v="538.68042000000014"/>
    <n v="30"/>
    <n v="561.15305993569018"/>
    <n v="0"/>
    <n v="0"/>
    <n v="0"/>
    <n v="0"/>
    <n v="0"/>
    <n v="0"/>
    <n v="0"/>
    <n v="73.677315176380716"/>
    <n v="0"/>
    <n v="0"/>
    <n v="538.6702147838123"/>
    <n v="0"/>
    <n v="0"/>
    <n v="0"/>
    <n v="5.4999638733782277"/>
    <n v="0"/>
    <n v="-49.224843349678849"/>
    <m/>
    <n v="0"/>
    <n v="0"/>
    <n v="0"/>
    <n v="0"/>
    <n v="-5.9483216705091593"/>
    <n v="-1.521268877693025"/>
    <n v="0"/>
    <n v="0"/>
    <m/>
    <m/>
    <m/>
    <n v="5010.4511369204811"/>
    <n v="0"/>
    <n v="0"/>
    <n v="-2175.9280099999996"/>
    <n v="538.68042000000059"/>
    <n v="0"/>
    <n v="0"/>
    <n v="-2198.447201432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58699999999999997"/>
    <n v="0.58699999999999997"/>
    <n v="0.58699999999999997"/>
    <n v="0.58699999999999997"/>
    <m/>
    <n v="415.98"/>
    <n v="215.17"/>
    <m/>
    <n v="370.48505"/>
    <n v="370.48505"/>
    <n v="321.99297999999999"/>
    <n v="0"/>
    <n v="35.857833081287886"/>
    <n v="0"/>
    <n v="0"/>
    <n v="0"/>
    <n v="52.428243936793642"/>
    <n v="148.39975868471276"/>
    <n v="123.71725736219601"/>
    <n v="2.5868939933313873"/>
    <n v="0"/>
    <n v="0"/>
    <n v="0"/>
    <n v="0"/>
    <n v="5.5409550117881174"/>
    <m/>
    <n v="0.691132320079320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631855768720888"/>
    <n v="0"/>
    <n v="0"/>
    <n v="0"/>
    <n v="152.1"/>
    <n v="2"/>
    <m/>
    <m/>
    <m/>
    <m/>
    <m/>
    <m/>
    <m/>
    <m/>
    <m/>
    <n v="124.9804429390681"/>
    <m/>
    <m/>
    <m/>
    <m/>
    <m/>
    <m/>
    <m/>
    <m/>
    <m/>
    <m/>
    <m/>
    <m/>
    <n v="323.6386"/>
    <n v="-46.876449999999977"/>
    <m/>
    <m/>
    <m/>
    <m/>
    <n v="-64.446730000000002"/>
    <n v="15.954660000000002"/>
    <n v="30"/>
    <n v="16.620255622496103"/>
    <n v="0"/>
    <n v="0"/>
    <n v="0"/>
    <n v="0"/>
    <n v="0"/>
    <n v="0"/>
    <n v="0"/>
    <n v="2.1821779105169483"/>
    <n v="0"/>
    <n v="0"/>
    <n v="15.954357741465159"/>
    <n v="0"/>
    <n v="0"/>
    <n v="0"/>
    <n v="0.16289816810500124"/>
    <n v="0"/>
    <n v="-1.4579435413623969"/>
    <m/>
    <n v="0"/>
    <n v="0"/>
    <n v="0"/>
    <n v="0"/>
    <n v="-0.17617764875063635"/>
    <n v="-4.5057007477965927E-2"/>
    <n v="0"/>
    <n v="0"/>
    <m/>
    <m/>
    <m/>
    <n v="148.39975868471276"/>
    <n v="0"/>
    <n v="0"/>
    <n v="-64.446730000000002"/>
    <n v="15.954660000000004"/>
    <n v="0"/>
    <n v="0"/>
    <n v="-65.113704386758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66.35"/>
    <n v="2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4"/>
    <s v="Regular"/>
    <s v="Convencional"/>
    <s v="B2"/>
    <s v="Rural"/>
    <s v="Agropecuária rural"/>
    <s v="IRRIG./AQUIC."/>
    <s v="Não se aplica"/>
    <s v="Não se aplica"/>
    <s v="CATIVO"/>
    <x v="0"/>
    <n v="0"/>
    <n v="0"/>
    <n v="6.2439999999999998"/>
    <n v="6.2439999999999998"/>
    <n v="6.2439999999999998"/>
    <n v="6.2439999999999998"/>
    <m/>
    <n v="415.98"/>
    <n v="215.17"/>
    <m/>
    <n v="3940.9005999999999"/>
    <n v="3940.9005999999999"/>
    <n v="3425.0837599999995"/>
    <n v="0"/>
    <n v="381.42471850010486"/>
    <n v="0"/>
    <n v="0"/>
    <n v="0"/>
    <n v="557.68646531744378"/>
    <n v="1578.5487107791255"/>
    <n v="1315.9975382786233"/>
    <n v="27.517148371995201"/>
    <n v="0"/>
    <n v="0"/>
    <n v="0"/>
    <n v="0"/>
    <n v="58.939903055545159"/>
    <m/>
    <n v="7.3516698578795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3667928788641"/>
    <n v="0"/>
    <n v="0"/>
    <n v="0"/>
    <n v="0"/>
    <n v="0"/>
    <m/>
    <m/>
    <m/>
    <m/>
    <m/>
    <n v="410.98007999999993"/>
    <m/>
    <m/>
    <m/>
    <n v="1329.4342175665097"/>
    <m/>
    <m/>
    <m/>
    <m/>
    <m/>
    <m/>
    <m/>
    <m/>
    <m/>
    <m/>
    <m/>
    <m/>
    <n v="3012.1728000000003"/>
    <n v="-455.83724000000029"/>
    <m/>
    <m/>
    <m/>
    <m/>
    <n v="-685.52876000000015"/>
    <n v="169.71192000000005"/>
    <n v="30"/>
    <n v="176.79195248188307"/>
    <n v="0"/>
    <n v="0"/>
    <n v="0"/>
    <n v="0"/>
    <n v="0"/>
    <n v="0"/>
    <n v="0"/>
    <n v="23.212127552415382"/>
    <n v="0"/>
    <n v="0"/>
    <n v="169.7087048342562"/>
    <n v="0"/>
    <n v="0"/>
    <n v="0"/>
    <n v="1.7327702924150383"/>
    <n v="0"/>
    <n v="-15.508346630778192"/>
    <m/>
    <n v="0"/>
    <n v="0"/>
    <n v="0"/>
    <n v="0"/>
    <n v="-1.874025960475258"/>
    <n v="-0.47927760594960578"/>
    <n v="0"/>
    <n v="0"/>
    <m/>
    <m/>
    <m/>
    <n v="1578.5487107791255"/>
    <n v="0"/>
    <n v="0"/>
    <n v="-685.52876000000015"/>
    <n v="169.71191999999996"/>
    <n v="0"/>
    <n v="0"/>
    <n v="-692.6234585875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6.2990000000000004"/>
    <n v="2.5196000000000001"/>
    <n v="6.2990000000000004"/>
    <n v="2.5196000000000001"/>
    <m/>
    <n v="415.98"/>
    <n v="215.17"/>
    <m/>
    <n v="3975.6138500000002"/>
    <n v="3975.6138500000002"/>
    <n v="3455.2534599999999"/>
    <n v="0"/>
    <n v="384.78448139528518"/>
    <n v="0"/>
    <n v="0"/>
    <n v="0"/>
    <n v="562.59882207472435"/>
    <n v="1592.4532878279488"/>
    <n v="1327.5894448457798"/>
    <n v="27.759531965918928"/>
    <n v="0"/>
    <n v="0"/>
    <n v="0"/>
    <n v="0"/>
    <n v="59.459072605201634"/>
    <m/>
    <n v="7.4164267192157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555035687763693"/>
    <n v="0"/>
    <n v="0"/>
    <n v="0"/>
    <n v="0"/>
    <n v="0"/>
    <m/>
    <m/>
    <m/>
    <m/>
    <m/>
    <m/>
    <n v="2238.9921480000003"/>
    <m/>
    <m/>
    <n v="1341.1444805335434"/>
    <m/>
    <m/>
    <m/>
    <m/>
    <m/>
    <m/>
    <m/>
    <m/>
    <m/>
    <m/>
    <m/>
    <m/>
    <n v="1216.4544000000001"/>
    <n v="-182.98663599999986"/>
    <m/>
    <m/>
    <m/>
    <m/>
    <n v="-691.56721000000016"/>
    <n v="171.20682000000005"/>
    <n v="30"/>
    <n v="178.34921663731348"/>
    <n v="0"/>
    <n v="0"/>
    <n v="0"/>
    <n v="0"/>
    <n v="0"/>
    <n v="0"/>
    <n v="0"/>
    <n v="23.416590559363271"/>
    <n v="0"/>
    <n v="0"/>
    <n v="171.20357651360996"/>
    <n v="0"/>
    <n v="0"/>
    <n v="0"/>
    <n v="1.7480333234981309"/>
    <n v="0"/>
    <n v="-15.644951221536189"/>
    <m/>
    <n v="0"/>
    <n v="0"/>
    <n v="0"/>
    <n v="0"/>
    <n v="-1.8905332359118603"/>
    <n v="-0.48349930170989275"/>
    <n v="0"/>
    <n v="0"/>
    <m/>
    <m/>
    <m/>
    <n v="1592.4532878279488"/>
    <n v="0"/>
    <n v="0"/>
    <n v="-691.56721000000016"/>
    <n v="171.20682000000011"/>
    <n v="0"/>
    <n v="0"/>
    <n v="-698.72440192877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5.2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7"/>
    <s v="Regular"/>
    <s v="Convencional"/>
    <s v="B2"/>
    <s v="Rural"/>
    <s v="Aquicultura"/>
    <s v="IRRIG./AQUIC."/>
    <s v="Não se aplica"/>
    <s v="Não se aplica"/>
    <s v="CATIVO"/>
    <x v="0"/>
    <n v="0"/>
    <n v="0"/>
    <n v="0.24399999999999999"/>
    <n v="0.24399999999999999"/>
    <n v="0.24399999999999999"/>
    <n v="0.24399999999999999"/>
    <m/>
    <n v="415.98"/>
    <n v="215.17"/>
    <m/>
    <n v="154.00059999999999"/>
    <n v="154.00059999999999"/>
    <n v="133.84375999999997"/>
    <n v="0"/>
    <n v="14.905129934981677"/>
    <n v="0"/>
    <n v="0"/>
    <n v="0"/>
    <n v="21.793000886844375"/>
    <n v="61.685759998415534"/>
    <n v="51.425912770657284"/>
    <n v="1.0753017621343417"/>
    <n v="0"/>
    <n v="0"/>
    <n v="0"/>
    <n v="0"/>
    <n v="2.3032249112032379"/>
    <m/>
    <n v="0.28728498483706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507202854649004"/>
    <n v="0"/>
    <n v="0"/>
    <n v="0"/>
    <n v="0"/>
    <n v="0"/>
    <m/>
    <m/>
    <m/>
    <m/>
    <m/>
    <n v="16.060079999999999"/>
    <m/>
    <m/>
    <m/>
    <n v="51.950984799203773"/>
    <m/>
    <m/>
    <m/>
    <m/>
    <m/>
    <m/>
    <m/>
    <m/>
    <m/>
    <m/>
    <m/>
    <m/>
    <n v="115.8528"/>
    <n v="-19.697239999999994"/>
    <m/>
    <m/>
    <m/>
    <m/>
    <n v="-26.788760000000003"/>
    <n v="6.6319200000000018"/>
    <n v="30"/>
    <n v="6.9085900713612318"/>
    <n v="0"/>
    <n v="0"/>
    <n v="0"/>
    <n v="0"/>
    <n v="0"/>
    <n v="0"/>
    <n v="0"/>
    <n v="0.907072249005342"/>
    <n v="0"/>
    <n v="0"/>
    <n v="6.6317943593143056"/>
    <n v="0"/>
    <n v="0"/>
    <n v="0"/>
    <n v="6.771235607771775E-2"/>
    <n v="0"/>
    <n v="-0.60602763899902001"/>
    <m/>
    <n v="0"/>
    <n v="0"/>
    <n v="0"/>
    <n v="0"/>
    <n v="-7.3232276482376957E-2"/>
    <n v="-1.872897755472519E-2"/>
    <n v="0"/>
    <n v="0"/>
    <m/>
    <m/>
    <m/>
    <n v="61.685759998415534"/>
    <n v="0"/>
    <n v="0"/>
    <n v="-26.788760000000011"/>
    <n v="6.6319200000000009"/>
    <n v="0"/>
    <n v="0"/>
    <n v="-27.06600318631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quicultura"/>
    <s v="IRRIG./AQUIC. PR"/>
    <s v="Não se aplica"/>
    <s v="Não se aplica"/>
    <s v="CATIVO"/>
    <x v="0"/>
    <n v="0"/>
    <n v="0"/>
    <n v="0.97499999999999998"/>
    <n v="0.39"/>
    <n v="0.97499999999999998"/>
    <n v="0.39"/>
    <m/>
    <n v="415.98"/>
    <n v="215.17"/>
    <m/>
    <n v="615.37125000000003"/>
    <n v="615.37125000000003"/>
    <n v="534.82650000000001"/>
    <n v="0"/>
    <n v="59.559433141832521"/>
    <n v="0"/>
    <n v="0"/>
    <n v="0"/>
    <n v="87.082687969972397"/>
    <n v="246.49022950186534"/>
    <n v="205.49288914504447"/>
    <n v="4.2968000741023893"/>
    <n v="0"/>
    <n v="0"/>
    <n v="0"/>
    <n v="0"/>
    <n v="9.2034601984555628"/>
    <m/>
    <n v="1.1479625418693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81361796427369"/>
    <n v="0"/>
    <n v="0"/>
    <n v="0"/>
    <n v="0"/>
    <n v="0"/>
    <m/>
    <m/>
    <m/>
    <m/>
    <m/>
    <m/>
    <n v="346.56569999999999"/>
    <m/>
    <m/>
    <n v="207.59102532468722"/>
    <m/>
    <m/>
    <m/>
    <m/>
    <m/>
    <m/>
    <m/>
    <m/>
    <m/>
    <m/>
    <m/>
    <m/>
    <n v="188.26080000000002"/>
    <n v="-28.379099999999994"/>
    <m/>
    <m/>
    <m/>
    <m/>
    <n v="-107.04525000000002"/>
    <n v="26.500500000000006"/>
    <n v="30"/>
    <n v="27.606046391709867"/>
    <n v="0"/>
    <n v="0"/>
    <n v="0"/>
    <n v="0"/>
    <n v="0"/>
    <n v="0"/>
    <n v="0"/>
    <n v="3.624571486804129"/>
    <n v="0"/>
    <n v="0"/>
    <n v="26.499997952178063"/>
    <n v="0"/>
    <n v="0"/>
    <n v="0"/>
    <n v="0.27057191465481489"/>
    <n v="0"/>
    <n v="-2.4216268361641227"/>
    <m/>
    <n v="0"/>
    <n v="0"/>
    <n v="0"/>
    <n v="0"/>
    <n v="-0.29262897364884388"/>
    <n v="-7.4839152114168028E-2"/>
    <n v="0"/>
    <n v="0"/>
    <m/>
    <m/>
    <m/>
    <n v="246.49022950186534"/>
    <n v="0"/>
    <n v="0"/>
    <n v="-107.04525000000001"/>
    <n v="26.500500000000017"/>
    <n v="0"/>
    <n v="0"/>
    <n v="-108.15308650270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"/>
    <s v="Regular"/>
    <s v="Convencional"/>
    <s v="B1"/>
    <s v="Residencial"/>
    <s v="Residencial"/>
    <s v="Não se aplica"/>
    <s v="Não se aplica"/>
    <s v="Não se aplica"/>
    <s v="CATIVO"/>
    <x v="1"/>
    <n v="0"/>
    <n v="0"/>
    <n v="455.92"/>
    <n v="455.92"/>
    <n v="455.92"/>
    <n v="455.92"/>
    <m/>
    <n v="415.98"/>
    <n v="215.17"/>
    <m/>
    <n v="287753.90800000005"/>
    <n v="287753.90800000005"/>
    <n v="250090.35680000001"/>
    <n v="0"/>
    <n v="27850.601803101832"/>
    <n v="0"/>
    <n v="0"/>
    <n v="0"/>
    <n v="40720.75805053315"/>
    <n v="115261.35941999021"/>
    <n v="96090.582583598647"/>
    <n v="2009.2277843946274"/>
    <n v="0"/>
    <n v="0"/>
    <n v="0"/>
    <n v="0"/>
    <n v="4303.6323832613953"/>
    <m/>
    <n v="536.799058552919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1.10999694637599"/>
    <n v="0"/>
    <n v="0"/>
    <n v="0"/>
    <n v="63874.79"/>
    <n v="2831"/>
    <m/>
    <m/>
    <m/>
    <m/>
    <m/>
    <m/>
    <m/>
    <m/>
    <m/>
    <n v="97071.69258054503"/>
    <m/>
    <m/>
    <m/>
    <m/>
    <m/>
    <m/>
    <m/>
    <m/>
    <m/>
    <m/>
    <m/>
    <m/>
    <n v="250090.35680000001"/>
    <n v="-37663.581200000073"/>
    <m/>
    <m/>
    <m/>
    <m/>
    <n v="-50055.456800000014"/>
    <n v="12391.905600000004"/>
    <n v="31"/>
    <n v="12908.870431700867"/>
    <n v="0"/>
    <n v="0"/>
    <n v="0"/>
    <n v="0"/>
    <n v="0"/>
    <n v="0"/>
    <n v="0"/>
    <n v="1694.8868023217801"/>
    <n v="0"/>
    <n v="0"/>
    <n v="12391.670837289261"/>
    <n v="0"/>
    <n v="0"/>
    <n v="0"/>
    <n v="126.52220238915197"/>
    <n v="0"/>
    <n v="-1132.3775457886622"/>
    <m/>
    <n v="0"/>
    <n v="0"/>
    <n v="0"/>
    <n v="0"/>
    <n v="-136.83630940100556"/>
    <n v="-34.995555109632335"/>
    <n v="0"/>
    <n v="0"/>
    <m/>
    <m/>
    <m/>
    <n v="115261.35941999021"/>
    <n v="0"/>
    <n v="0"/>
    <n v="-50055.456800000014"/>
    <n v="12391.905599999998"/>
    <n v="0"/>
    <n v="0"/>
    <n v="-50573.49251109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.002"/>
    <n v="-1.002"/>
    <n v="-1.002"/>
    <n v="-1.002"/>
    <m/>
    <n v="415.98"/>
    <n v="215.17"/>
    <m/>
    <n v="-632.41229999999996"/>
    <n v="-632.41229999999996"/>
    <n v="-549.63707999999997"/>
    <n v="0"/>
    <n v="-61.20877129037558"/>
    <n v="0"/>
    <n v="0"/>
    <n v="0"/>
    <n v="-89.494208559910106"/>
    <n v="-253.31611278037855"/>
    <n v="-211.18346145983034"/>
    <n v="-4.4157883838467633"/>
    <n v="0"/>
    <n v="0"/>
    <n v="0"/>
    <n v="0"/>
    <n v="-9.4583252501051014"/>
    <m/>
    <n v="-1.1797522737980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1562384123097664"/>
    <n v="0"/>
    <n v="0"/>
    <n v="0"/>
    <n v="-244.96"/>
    <n v="0"/>
    <m/>
    <m/>
    <m/>
    <m/>
    <m/>
    <m/>
    <m/>
    <m/>
    <m/>
    <n v="-213.3396998721401"/>
    <m/>
    <m/>
    <m/>
    <m/>
    <m/>
    <m/>
    <m/>
    <m/>
    <m/>
    <m/>
    <m/>
    <m/>
    <n v="-548.54"/>
    <n v="83.842300000000023"/>
    <m/>
    <m/>
    <m/>
    <m/>
    <n v="110.00958000000001"/>
    <n v="-27.234360000000006"/>
    <n v="31"/>
    <n v="-28.370521522557226"/>
    <n v="0"/>
    <n v="0"/>
    <n v="0"/>
    <n v="0"/>
    <n v="0"/>
    <n v="0"/>
    <n v="0"/>
    <n v="-3.7249442356694686"/>
    <n v="0"/>
    <n v="0"/>
    <n v="-27.233844049315309"/>
    <n v="0"/>
    <n v="0"/>
    <n v="0"/>
    <n v="-0.2780646753683329"/>
    <n v="0"/>
    <n v="2.4886872716271284"/>
    <m/>
    <n v="0"/>
    <n v="0"/>
    <n v="0"/>
    <n v="0"/>
    <n v="0.30073254522681125"/>
    <n v="7.6911620941944925E-2"/>
    <n v="0"/>
    <n v="0"/>
    <m/>
    <m/>
    <m/>
    <n v="-253.31611278037855"/>
    <n v="0"/>
    <n v="0"/>
    <n v="110.00958000000003"/>
    <n v="-27.234360000000009"/>
    <n v="0"/>
    <n v="0"/>
    <n v="111.14809505201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.962"/>
    <n v="1.962"/>
    <n v="1.962"/>
    <n v="1.962"/>
    <m/>
    <n v="415.98"/>
    <n v="215.17"/>
    <m/>
    <n v="1238.3163"/>
    <n v="1238.3163"/>
    <n v="1076.2354800000001"/>
    <n v="0"/>
    <n v="119.85190546079529"/>
    <n v="0"/>
    <n v="0"/>
    <n v="0"/>
    <n v="175.237162868806"/>
    <n v="496.01418490529215"/>
    <n v="413.51492154110491"/>
    <n v="8.6464838414245015"/>
    <n v="0"/>
    <n v="0"/>
    <n v="0"/>
    <n v="0"/>
    <n v="18.520193753199809"/>
    <m/>
    <n v="2.3100538534848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220955738041539"/>
    <n v="0"/>
    <n v="0"/>
    <n v="0"/>
    <n v="711.49"/>
    <n v="16"/>
    <m/>
    <m/>
    <m/>
    <m/>
    <m/>
    <m/>
    <m/>
    <m/>
    <m/>
    <n v="417.73701711490907"/>
    <m/>
    <m/>
    <m/>
    <m/>
    <m/>
    <m/>
    <m/>
    <m/>
    <m/>
    <m/>
    <m/>
    <m/>
    <n v="1075.1383999999998"/>
    <n v="-163.20790000000011"/>
    <m/>
    <m/>
    <m/>
    <m/>
    <n v="-215.40798000000004"/>
    <n v="53.327160000000013"/>
    <n v="31"/>
    <n v="55.551859508240796"/>
    <n v="0"/>
    <n v="0"/>
    <n v="0"/>
    <n v="0"/>
    <n v="0"/>
    <n v="0"/>
    <n v="0"/>
    <n v="7.2937530842150977"/>
    <n v="0"/>
    <n v="0"/>
    <n v="53.326149725305982"/>
    <n v="0"/>
    <n v="0"/>
    <n v="0"/>
    <n v="0.54447394518230396"/>
    <n v="0"/>
    <n v="-4.873058310311805"/>
    <m/>
    <n v="0"/>
    <n v="0"/>
    <n v="0"/>
    <n v="0"/>
    <n v="-0.58885953466567287"/>
    <n v="-0.15059940148512618"/>
    <n v="0"/>
    <n v="0"/>
    <m/>
    <m/>
    <m/>
    <n v="496.01418490529215"/>
    <n v="0"/>
    <n v="0"/>
    <n v="-215.40798000000007"/>
    <n v="53.327160000000049"/>
    <n v="0"/>
    <n v="0"/>
    <n v="-217.6372879162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5.16"/>
    <n v="5.16"/>
    <n v="5.16"/>
    <n v="5.16"/>
    <m/>
    <n v="345.46"/>
    <n v="215.17"/>
    <m/>
    <n v="2892.8508000000002"/>
    <n v="2892.8508000000002"/>
    <n v="2480.9279999999999"/>
    <n v="0"/>
    <n v="0"/>
    <n v="0"/>
    <n v="0"/>
    <n v="0"/>
    <n v="460.86837941031553"/>
    <n v="1304.5021376714105"/>
    <n v="1087.5315979368509"/>
    <n v="22.739988084480341"/>
    <n v="0"/>
    <n v="0"/>
    <n v="0"/>
    <n v="0"/>
    <n v="0"/>
    <m/>
    <n v="6.0753709908165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03982243032331"/>
    <n v="0"/>
    <n v="0"/>
    <n v="0"/>
    <n v="130.22999999999999"/>
    <n v="7"/>
    <m/>
    <m/>
    <m/>
    <m/>
    <m/>
    <m/>
    <m/>
    <n v="1612.6032"/>
    <m/>
    <n v="1098.6355801798832"/>
    <m/>
    <m/>
    <m/>
    <m/>
    <m/>
    <m/>
    <m/>
    <m/>
    <m/>
    <m/>
    <m/>
    <m/>
    <n v="868.32479999999998"/>
    <n v="-144.20039999999995"/>
    <m/>
    <m/>
    <m/>
    <m/>
    <n v="-552.17160000000001"/>
    <n v="140.24880000000005"/>
    <n v="31"/>
    <n v="160.46436857421304"/>
    <n v="0"/>
    <n v="0"/>
    <n v="0"/>
    <n v="0"/>
    <n v="0"/>
    <n v="0"/>
    <n v="0"/>
    <n v="19.182347560932612"/>
    <n v="0"/>
    <n v="0"/>
    <n v="140.24614300844996"/>
    <n v="0"/>
    <n v="0"/>
    <n v="0"/>
    <n v="1.4319498252500971"/>
    <n v="0"/>
    <n v="0"/>
    <m/>
    <n v="0"/>
    <n v="0"/>
    <n v="0"/>
    <n v="0"/>
    <n v="0"/>
    <n v="-0.39607182041959721"/>
    <n v="0"/>
    <n v="0"/>
    <m/>
    <m/>
    <m/>
    <n v="1304.5021376714105"/>
    <n v="0"/>
    <n v="0"/>
    <n v="-552.1715999999999"/>
    <n v="140.24880000000007"/>
    <n v="0"/>
    <n v="0"/>
    <n v="-572.3794116451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0.64"/>
    <n v="10.64"/>
    <n v="10.64"/>
    <n v="10.64"/>
    <m/>
    <n v="345.46"/>
    <n v="215.17"/>
    <m/>
    <n v="5965.1031999999996"/>
    <n v="5965.1031999999996"/>
    <n v="5115.7120000000004"/>
    <n v="0"/>
    <n v="0"/>
    <n v="0"/>
    <n v="0"/>
    <n v="0"/>
    <n v="950.31774359026304"/>
    <n v="2689.9036327177923"/>
    <n v="2242.5070159007932"/>
    <n v="46.890207988153264"/>
    <n v="0"/>
    <n v="0"/>
    <n v="0"/>
    <n v="0"/>
    <n v="0"/>
    <m/>
    <n v="12.527509174861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96583539896124"/>
    <n v="0"/>
    <n v="0"/>
    <n v="0"/>
    <n v="476.23"/>
    <n v="34"/>
    <m/>
    <m/>
    <m/>
    <m/>
    <m/>
    <m/>
    <m/>
    <n v="2046.2848000000001"/>
    <m/>
    <n v="2265.4035994406895"/>
    <m/>
    <m/>
    <m/>
    <m/>
    <m/>
    <m/>
    <m/>
    <m/>
    <m/>
    <m/>
    <m/>
    <m/>
    <n v="3069.4272000000001"/>
    <n v="-509.57960000000094"/>
    <m/>
    <m/>
    <m/>
    <m/>
    <n v="-1138.5863999999999"/>
    <n v="289.19520000000011"/>
    <n v="31"/>
    <n v="330.88001581969502"/>
    <n v="0"/>
    <n v="0"/>
    <n v="0"/>
    <n v="0"/>
    <n v="0"/>
    <n v="0"/>
    <n v="0"/>
    <n v="39.554298071380458"/>
    <n v="0"/>
    <n v="0"/>
    <n v="289.18972124223046"/>
    <n v="0"/>
    <n v="0"/>
    <n v="0"/>
    <n v="2.952702740438184"/>
    <n v="0"/>
    <n v="0"/>
    <m/>
    <n v="0"/>
    <n v="0"/>
    <n v="0"/>
    <n v="0"/>
    <n v="0"/>
    <n v="-0.81670623435358891"/>
    <n v="0"/>
    <n v="0"/>
    <m/>
    <m/>
    <m/>
    <n v="2689.9036327177923"/>
    <n v="0"/>
    <n v="0"/>
    <n v="-1138.5863999999997"/>
    <n v="289.19520000000011"/>
    <n v="0"/>
    <n v="0"/>
    <n v="-1180.255220911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4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9.8420000000000005"/>
    <n v="9.8420000000000005"/>
    <n v="9.8420000000000005"/>
    <n v="9.8420000000000005"/>
    <m/>
    <n v="345.46"/>
    <n v="215.17"/>
    <m/>
    <n v="5517.7204600000005"/>
    <n v="5517.7204600000005"/>
    <n v="4732.0336000000007"/>
    <n v="0"/>
    <n v="0"/>
    <n v="0"/>
    <n v="0"/>
    <n v="0"/>
    <n v="879.04391282099323"/>
    <n v="2488.1608602639581"/>
    <n v="2074.3189897082339"/>
    <n v="43.37344238904177"/>
    <n v="0"/>
    <n v="0"/>
    <n v="0"/>
    <n v="0"/>
    <n v="0"/>
    <m/>
    <n v="11.587945986747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79339774403914"/>
    <n v="0"/>
    <n v="0"/>
    <n v="0"/>
    <n v="1186.4000000000001"/>
    <n v="91"/>
    <m/>
    <m/>
    <m/>
    <m/>
    <m/>
    <m/>
    <m/>
    <n v="473.30177999999978"/>
    <m/>
    <n v="2095.4983294826379"/>
    <m/>
    <m/>
    <m/>
    <m/>
    <m/>
    <m/>
    <m/>
    <m/>
    <m/>
    <m/>
    <m/>
    <m/>
    <n v="4257.8663999999999"/>
    <n v="-708.04312000000118"/>
    <m/>
    <m/>
    <m/>
    <m/>
    <n v="-1053.1924199999999"/>
    <n v="267.50556000000006"/>
    <n v="31"/>
    <n v="306.06401463321799"/>
    <n v="0"/>
    <n v="0"/>
    <n v="0"/>
    <n v="0"/>
    <n v="0"/>
    <n v="0"/>
    <n v="0"/>
    <n v="36.587725716026966"/>
    <n v="0"/>
    <n v="0"/>
    <n v="267.50049214906312"/>
    <n v="0"/>
    <n v="0"/>
    <n v="0"/>
    <n v="2.7312500349053224"/>
    <n v="0"/>
    <n v="0"/>
    <m/>
    <n v="0"/>
    <n v="0"/>
    <n v="0"/>
    <n v="0"/>
    <n v="0"/>
    <n v="-0.75545326677706903"/>
    <n v="0"/>
    <n v="0"/>
    <m/>
    <m/>
    <m/>
    <n v="2488.1608602639581"/>
    <n v="0"/>
    <n v="0"/>
    <n v="-1053.1924199999999"/>
    <n v="267.50556000000006"/>
    <n v="0"/>
    <n v="0"/>
    <n v="-1091.736079343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3.2509999999999999"/>
    <n v="3.2509999999999999"/>
    <n v="3.2509999999999999"/>
    <n v="3.2509999999999999"/>
    <m/>
    <n v="345.46"/>
    <n v="215.17"/>
    <m/>
    <n v="1822.6081299999998"/>
    <n v="1822.6081299999998"/>
    <n v="1563.0807999999997"/>
    <n v="0"/>
    <n v="0"/>
    <n v="0"/>
    <n v="0"/>
    <n v="0"/>
    <n v="290.36494214397976"/>
    <n v="821.88690883134791"/>
    <n v="685.18705908773291"/>
    <n v="14.327073888109609"/>
    <n v="0"/>
    <n v="0"/>
    <n v="0"/>
    <n v="0"/>
    <n v="0"/>
    <m/>
    <n v="3.8277192037101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959392000190128"/>
    <n v="0"/>
    <n v="0"/>
    <n v="0"/>
    <n v="782.22"/>
    <n v="39"/>
    <m/>
    <m/>
    <m/>
    <m/>
    <m/>
    <m/>
    <m/>
    <m/>
    <m/>
    <n v="692.18299828775196"/>
    <m/>
    <m/>
    <m/>
    <m/>
    <m/>
    <m/>
    <m/>
    <m/>
    <m/>
    <m/>
    <m/>
    <m/>
    <n v="1562.6"/>
    <n v="-260.03812999999991"/>
    <m/>
    <m/>
    <m/>
    <m/>
    <n v="-347.88950999999997"/>
    <n v="88.362180000000023"/>
    <n v="31"/>
    <n v="101.0987717509239"/>
    <n v="0"/>
    <n v="0"/>
    <n v="0"/>
    <n v="0"/>
    <n v="0"/>
    <n v="0"/>
    <n v="0"/>
    <n v="12.085622465230983"/>
    <n v="0"/>
    <n v="0"/>
    <n v="88.360505992339426"/>
    <n v="0"/>
    <n v="0"/>
    <n v="0"/>
    <n v="0.90218389183877168"/>
    <n v="0"/>
    <n v="0"/>
    <m/>
    <n v="0"/>
    <n v="0"/>
    <n v="0"/>
    <n v="0"/>
    <n v="0"/>
    <n v="-0.24954059848529297"/>
    <n v="0"/>
    <n v="0"/>
    <m/>
    <m/>
    <m/>
    <n v="821.88690883134791"/>
    <n v="0"/>
    <n v="0"/>
    <n v="-347.88950999999997"/>
    <n v="88.362179999999967"/>
    <n v="0"/>
    <n v="0"/>
    <n v="-360.6212145849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6"/>
    <s v="Regular"/>
    <s v="Convencional"/>
    <s v="B3"/>
    <s v="Industrial"/>
    <s v="Não se aplica"/>
    <s v="Não se aplica"/>
    <s v="Não se aplica"/>
    <s v="Não se aplica"/>
    <s v="CATIVO"/>
    <x v="1"/>
    <n v="0"/>
    <n v="0"/>
    <n v="21.478000000000002"/>
    <n v="21.478000000000002"/>
    <n v="21.478000000000002"/>
    <n v="21.478000000000002"/>
    <m/>
    <n v="415.98"/>
    <n v="215.17"/>
    <m/>
    <n v="13555.8397"/>
    <n v="13555.8397"/>
    <n v="11781.54212"/>
    <n v="0"/>
    <n v="1312.0179538669529"/>
    <n v="0"/>
    <n v="0"/>
    <n v="0"/>
    <n v="1918.3199715067358"/>
    <n v="5429.8637428113479"/>
    <n v="4526.7448954433494"/>
    <n v="94.652996914431938"/>
    <n v="0"/>
    <n v="0"/>
    <n v="0"/>
    <n v="0"/>
    <n v="202.74042886402933"/>
    <m/>
    <n v="25.288143050534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21925011935047"/>
    <n v="0"/>
    <n v="0"/>
    <n v="0"/>
    <n v="5224.3"/>
    <n v="38"/>
    <m/>
    <m/>
    <m/>
    <m/>
    <m/>
    <m/>
    <m/>
    <m/>
    <m/>
    <n v="4572.9641455626997"/>
    <m/>
    <m/>
    <m/>
    <m/>
    <m/>
    <m/>
    <m/>
    <m/>
    <m/>
    <m/>
    <m/>
    <m/>
    <n v="11782.6392"/>
    <n v="-1773.2305000000015"/>
    <m/>
    <m/>
    <m/>
    <m/>
    <n v="-2358.0696200000007"/>
    <n v="583.77204000000017"/>
    <n v="31"/>
    <n v="608.12580964219887"/>
    <n v="0"/>
    <n v="0"/>
    <n v="0"/>
    <n v="0"/>
    <n v="0"/>
    <n v="0"/>
    <n v="0"/>
    <n v="79.844662967773502"/>
    <n v="0"/>
    <n v="0"/>
    <n v="583.76098053013447"/>
    <n v="0"/>
    <n v="0"/>
    <n v="0"/>
    <n v="5.9603523927754978"/>
    <n v="0"/>
    <n v="-53.345334550905591"/>
    <m/>
    <n v="0"/>
    <n v="0"/>
    <n v="0"/>
    <n v="0"/>
    <n v="-6.4462411241331949"/>
    <n v="-1.6486105734442056"/>
    <n v="0"/>
    <n v="0"/>
    <m/>
    <m/>
    <m/>
    <n v="5429.8637428113479"/>
    <n v="0"/>
    <n v="0"/>
    <n v="-2358.0696200000011"/>
    <n v="583.77203999999983"/>
    <n v="0"/>
    <n v="0"/>
    <n v="-2382.47383785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7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15.423999999999999"/>
    <n v="15.423999999999999"/>
    <n v="15.423999999999999"/>
    <n v="15.423999999999999"/>
    <m/>
    <n v="415.98"/>
    <n v="215.17"/>
    <m/>
    <n v="9734.8575999999994"/>
    <n v="9734.8575999999994"/>
    <n v="8460.6809599999997"/>
    <n v="0"/>
    <n v="942.19968900474339"/>
    <n v="0"/>
    <n v="0"/>
    <n v="0"/>
    <n v="1377.6034658962608"/>
    <n v="3899.3490254736116"/>
    <n v="3250.7921253058112"/>
    <n v="67.973173685082315"/>
    <n v="0"/>
    <n v="0"/>
    <n v="0"/>
    <n v="0"/>
    <n v="145.59402061638829"/>
    <m/>
    <n v="18.160178713634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191438394676481"/>
    <n v="0"/>
    <n v="0"/>
    <n v="0"/>
    <n v="4561.2299999999996"/>
    <n v="4"/>
    <m/>
    <m/>
    <m/>
    <m/>
    <m/>
    <m/>
    <m/>
    <m/>
    <m/>
    <n v="3283.9835637004876"/>
    <m/>
    <m/>
    <m/>
    <m/>
    <m/>
    <m/>
    <m/>
    <m/>
    <m/>
    <m/>
    <m/>
    <m/>
    <n v="8458.4868000000006"/>
    <n v="-1276.4007999999994"/>
    <m/>
    <m/>
    <m/>
    <m/>
    <n v="-1693.4009600000002"/>
    <n v="419.22432000000009"/>
    <n v="31"/>
    <n v="436.71349696998277"/>
    <n v="0"/>
    <n v="0"/>
    <n v="0"/>
    <n v="0"/>
    <n v="0"/>
    <n v="0"/>
    <n v="0"/>
    <n v="57.33886216663268"/>
    <n v="0"/>
    <n v="0"/>
    <n v="419.21637786091742"/>
    <n v="0"/>
    <n v="0"/>
    <n v="0"/>
    <n v="4.2803089350111421"/>
    <n v="0"/>
    <n v="-38.308894688200439"/>
    <m/>
    <n v="0"/>
    <n v="0"/>
    <n v="0"/>
    <n v="0"/>
    <n v="-4.6292402969843636"/>
    <n v="-1.1839170073937737"/>
    <n v="0"/>
    <n v="0"/>
    <m/>
    <m/>
    <m/>
    <n v="3899.3490254736116"/>
    <n v="0"/>
    <n v="0"/>
    <n v="-1693.4009600000009"/>
    <n v="419.22432000000026"/>
    <n v="0"/>
    <n v="0"/>
    <n v="-1710.9263653515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8"/>
    <s v="Regular"/>
    <s v="Verde"/>
    <s v="A4"/>
    <s v="Industrial"/>
    <s v="Não se aplica"/>
    <s v="Não se aplica"/>
    <s v="Não se aplica"/>
    <s v="Ponta"/>
    <s v="CATIVO"/>
    <x v="1"/>
    <n v="0"/>
    <n v="0"/>
    <n v="115.479"/>
    <n v="115.479"/>
    <n v="115.479"/>
    <n v="115.479"/>
    <m/>
    <n v="2184.0300000000002"/>
    <n v="215.17"/>
    <m/>
    <n v="277057.21680000005"/>
    <n v="277057.21680000005"/>
    <n v="209062.02680999998"/>
    <n v="0"/>
    <n v="6137.1707573472122"/>
    <n v="0"/>
    <n v="0"/>
    <n v="0"/>
    <n v="76099.998861098691"/>
    <n v="168706.51329769197"/>
    <n v="24338.57779033907"/>
    <n v="508.91300077668706"/>
    <n v="0"/>
    <n v="0"/>
    <n v="0"/>
    <n v="0"/>
    <n v="1090.0578259050767"/>
    <m/>
    <n v="79.66580330129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45851784623414"/>
    <n v="0"/>
    <n v="0"/>
    <n v="0"/>
    <n v="0"/>
    <n v="0"/>
    <m/>
    <m/>
    <m/>
    <m/>
    <m/>
    <m/>
    <m/>
    <m/>
    <m/>
    <n v="24434.523642123695"/>
    <m/>
    <m/>
    <m/>
    <m/>
    <m/>
    <m/>
    <m/>
    <m/>
    <m/>
    <m/>
    <m/>
    <m/>
    <n v="209063.83720000001"/>
    <n v="-67993.409600000072"/>
    <m/>
    <m/>
    <m/>
    <m/>
    <n v="-71133.909210000027"/>
    <n v="3138.7192200000009"/>
    <n v="31"/>
    <n v="6029.0969258516561"/>
    <n v="0"/>
    <n v="0"/>
    <n v="0"/>
    <n v="0"/>
    <n v="0"/>
    <n v="0"/>
    <n v="0"/>
    <n v="3167.4480019826005"/>
    <n v="0"/>
    <n v="0"/>
    <n v="3138.6597574559673"/>
    <n v="0"/>
    <n v="0"/>
    <n v="0"/>
    <n v="12.373006610549623"/>
    <n v="0"/>
    <n v="-249.53120975348247"/>
    <m/>
    <n v="0"/>
    <n v="0"/>
    <n v="0"/>
    <n v="0"/>
    <n v="-34.658975638968968"/>
    <n v="-5.1936548050205573"/>
    <n v="0"/>
    <n v="0"/>
    <m/>
    <m/>
    <m/>
    <n v="168706.51329769197"/>
    <n v="0"/>
    <n v="0"/>
    <n v="-71133.909210000042"/>
    <n v="3138.7192200000027"/>
    <n v="0"/>
    <n v="0"/>
    <n v="-74023.74594372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9"/>
    <s v="Regular"/>
    <s v="Verde"/>
    <s v="A4"/>
    <s v="Industrial"/>
    <s v="Não se aplica"/>
    <s v="Não se aplica"/>
    <s v="Não se aplica"/>
    <s v="Fora ponta"/>
    <s v="CATIVO"/>
    <x v="1"/>
    <n v="0"/>
    <n v="0"/>
    <n v="1488.9290000000001"/>
    <n v="1488.9290000000001"/>
    <n v="1488.9290000000001"/>
    <n v="1488.9290000000001"/>
    <m/>
    <n v="64.11"/>
    <n v="215.17"/>
    <m/>
    <n v="415828.09112"/>
    <n v="415828.09112"/>
    <n v="452723.75173999998"/>
    <n v="0"/>
    <n v="79129.638449988561"/>
    <n v="0"/>
    <n v="0"/>
    <n v="0"/>
    <n v="0"/>
    <n v="0"/>
    <n v="313809.56096599175"/>
    <n v="6561.672038495587"/>
    <n v="0"/>
    <n v="0"/>
    <n v="0"/>
    <n v="0"/>
    <n v="14054.665425462814"/>
    <m/>
    <n v="1027.1713891148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0782666270713"/>
    <n v="0"/>
    <n v="0"/>
    <n v="0"/>
    <n v="0"/>
    <n v="0"/>
    <m/>
    <m/>
    <m/>
    <m/>
    <m/>
    <m/>
    <m/>
    <m/>
    <m/>
    <n v="315046.63923261885"/>
    <m/>
    <m/>
    <m/>
    <m/>
    <m/>
    <m/>
    <m/>
    <m/>
    <m/>
    <m/>
    <m/>
    <m/>
    <n v="452724.05580000003"/>
    <n v="36895.934680000006"/>
    <m/>
    <m/>
    <m/>
    <m/>
    <n v="-3573.4295999999981"/>
    <n v="40469.090220000013"/>
    <n v="31"/>
    <n v="36896.683124788164"/>
    <n v="0"/>
    <n v="0"/>
    <n v="0"/>
    <n v="0"/>
    <n v="0"/>
    <n v="0"/>
    <n v="0"/>
    <n v="0"/>
    <n v="0"/>
    <n v="0"/>
    <n v="40468.323539424164"/>
    <n v="0"/>
    <n v="0"/>
    <n v="0"/>
    <n v="159.53141575211976"/>
    <n v="0"/>
    <n v="-3217.3317625459458"/>
    <m/>
    <n v="0"/>
    <n v="0"/>
    <n v="0"/>
    <n v="0"/>
    <n v="-446.87565651897239"/>
    <n v="-66.964411323136119"/>
    <n v="0"/>
    <n v="0"/>
    <m/>
    <m/>
    <m/>
    <n v="0"/>
    <n v="0"/>
    <n v="0"/>
    <n v="-3573.4296000000031"/>
    <n v="40469.09022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0"/>
    <s v="Regular"/>
    <s v="Verde"/>
    <s v="A4"/>
    <s v="Industrial"/>
    <s v="Não se aplica"/>
    <s v="Não se aplica"/>
    <s v="Não se aplica"/>
    <s v="Não se aplica"/>
    <s v="CATIVO"/>
    <x v="1"/>
    <n v="5166"/>
    <n v="5166"/>
    <n v="0"/>
    <n v="0"/>
    <n v="0"/>
    <n v="0"/>
    <n v="28.04"/>
    <m/>
    <m/>
    <n v="144854.63999999998"/>
    <m/>
    <n v="144854.63999999998"/>
    <n v="108795.95999999999"/>
    <n v="0"/>
    <n v="0"/>
    <n v="0"/>
    <n v="0"/>
    <n v="0"/>
    <n v="57191.119420009207"/>
    <n v="87689.2332848795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4918.03999999998"/>
    <n v="14"/>
    <m/>
    <m/>
    <m/>
    <m/>
    <m/>
    <m/>
    <m/>
    <m/>
    <m/>
    <n v="0"/>
    <m/>
    <m/>
    <m/>
    <m/>
    <m/>
    <m/>
    <m/>
    <m/>
    <m/>
    <m/>
    <m/>
    <m/>
    <n v="108795.95999999999"/>
    <n v="-36058.710000000021"/>
    <m/>
    <m/>
    <m/>
    <m/>
    <n v="-36058.68"/>
    <n v="0"/>
    <n v="31"/>
    <n v="2380.4191806714807"/>
    <n v="0"/>
    <n v="0"/>
    <n v="0"/>
    <n v="0"/>
    <m/>
    <m/>
    <m/>
    <n v="2380.41918067148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689.233284879549"/>
    <m/>
    <n v="0"/>
    <n v="0"/>
    <n v="-36058.679999999993"/>
    <m/>
    <n v="0"/>
    <m/>
    <n v="-38475.607134537349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51"/>
    <s v="Regular"/>
    <s v="Convencional"/>
    <s v="B3"/>
    <s v="Comercial"/>
    <s v="Não se aplica"/>
    <s v="Não se aplica"/>
    <s v="Não se aplica"/>
    <s v="Não se aplica"/>
    <s v="CATIVO"/>
    <x v="1"/>
    <n v="0"/>
    <n v="0"/>
    <n v="158.61799999999999"/>
    <n v="158.61799999999999"/>
    <n v="158.61799999999999"/>
    <n v="158.61799999999999"/>
    <m/>
    <n v="415.98"/>
    <n v="215.17"/>
    <m/>
    <n v="100111.7507"/>
    <n v="100111.7507"/>
    <n v="87008.317719999992"/>
    <n v="0"/>
    <n v="9689.4340165037847"/>
    <n v="0"/>
    <n v="0"/>
    <n v="0"/>
    <n v="14167.058256842136"/>
    <n v="40100.294587822442"/>
    <n v="33430.637015803761"/>
    <n v="699.02547092715167"/>
    <n v="0"/>
    <n v="0"/>
    <n v="0"/>
    <n v="0"/>
    <n v="1497.2661023165379"/>
    <m/>
    <n v="186.75643329870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.33555337699653"/>
    <n v="0"/>
    <n v="0"/>
    <n v="0"/>
    <n v="38616.76"/>
    <n v="446"/>
    <m/>
    <m/>
    <m/>
    <m/>
    <m/>
    <m/>
    <m/>
    <m/>
    <m/>
    <n v="33771.972569180754"/>
    <m/>
    <m/>
    <m/>
    <m/>
    <m/>
    <m/>
    <m/>
    <m/>
    <m/>
    <m/>
    <m/>
    <m/>
    <n v="87009.414799999999"/>
    <n v="-13102.36589999999"/>
    <m/>
    <m/>
    <m/>
    <m/>
    <n v="-17414.670220000004"/>
    <n v="4311.2372400000013"/>
    <n v="31"/>
    <n v="4491.0931964720367"/>
    <n v="0"/>
    <n v="0"/>
    <n v="0"/>
    <n v="0"/>
    <n v="0"/>
    <n v="0"/>
    <n v="0"/>
    <n v="589.6638770193822"/>
    <n v="0"/>
    <n v="0"/>
    <n v="4311.1555642857202"/>
    <n v="0"/>
    <n v="0"/>
    <n v="0"/>
    <n v="44.018026624325557"/>
    <n v="0"/>
    <n v="-393.96267230633748"/>
    <m/>
    <n v="0"/>
    <n v="0"/>
    <n v="0"/>
    <n v="0"/>
    <n v="-47.606382094597166"/>
    <n v="-12.175217056456518"/>
    <n v="0"/>
    <n v="0"/>
    <m/>
    <m/>
    <m/>
    <n v="40100.294587822442"/>
    <n v="0"/>
    <n v="0"/>
    <n v="-17414.670220000007"/>
    <n v="4311.2372400000022"/>
    <n v="0"/>
    <n v="0"/>
    <n v="-17594.898743473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2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0.97199999999999998"/>
    <n v="0.97199999999999998"/>
    <n v="0.97199999999999998"/>
    <n v="0.97199999999999998"/>
    <m/>
    <n v="415.98"/>
    <n v="215.17"/>
    <m/>
    <n v="613.4778"/>
    <n v="613.4778"/>
    <n v="533.18088"/>
    <n v="0"/>
    <n v="59.376173347549958"/>
    <n v="0"/>
    <n v="0"/>
    <n v="0"/>
    <n v="86.814741237757104"/>
    <n v="245.73179802647499"/>
    <n v="204.86060333229051"/>
    <n v="4.2835791507974594"/>
    <n v="0"/>
    <n v="0"/>
    <n v="0"/>
    <n v="0"/>
    <n v="9.1751418593833911"/>
    <m/>
    <n v="1.1444303494328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16803760130667"/>
    <n v="0"/>
    <n v="0"/>
    <n v="0"/>
    <n v="237.63"/>
    <n v="0"/>
    <m/>
    <m/>
    <m/>
    <m/>
    <m/>
    <m/>
    <m/>
    <m/>
    <m/>
    <n v="206.95228370830358"/>
    <m/>
    <m/>
    <m/>
    <m/>
    <m/>
    <m/>
    <m/>
    <m/>
    <m/>
    <m/>
    <m/>
    <m/>
    <n v="532.0838"/>
    <n v="-81.423999999999978"/>
    <m/>
    <m/>
    <m/>
    <m/>
    <n v="-106.71588000000001"/>
    <n v="26.418960000000006"/>
    <n v="31"/>
    <n v="27.521104710504574"/>
    <n v="0"/>
    <n v="0"/>
    <n v="0"/>
    <n v="0"/>
    <n v="0"/>
    <n v="0"/>
    <n v="0"/>
    <n v="3.6134189591524262"/>
    <n v="0"/>
    <n v="0"/>
    <n v="26.418459496940585"/>
    <n v="0"/>
    <n v="0"/>
    <n v="0"/>
    <n v="0.26973938568664613"/>
    <n v="0"/>
    <n v="-2.4141756766682292"/>
    <m/>
    <n v="0"/>
    <n v="0"/>
    <n v="0"/>
    <n v="0"/>
    <n v="-0.29172857680684672"/>
    <n v="-7.4608877799970719E-2"/>
    <n v="0"/>
    <n v="0"/>
    <m/>
    <m/>
    <m/>
    <n v="245.73179802647499"/>
    <n v="0"/>
    <n v="0"/>
    <n v="-106.71588000000003"/>
    <n v="26.418960000000027"/>
    <n v="0"/>
    <n v="0"/>
    <n v="-107.8203077750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7.452"/>
    <n v="7.452"/>
    <n v="7.452"/>
    <n v="7.452"/>
    <m/>
    <n v="415.98"/>
    <n v="215.17"/>
    <m/>
    <n v="4703.3297999999995"/>
    <n v="4703.3297999999995"/>
    <n v="4087.7200800000001"/>
    <n v="0"/>
    <n v="455.21732899788304"/>
    <n v="0"/>
    <n v="0"/>
    <n v="0"/>
    <n v="665.57968282280444"/>
    <n v="1883.9437848696416"/>
    <n v="1570.5979588808939"/>
    <n v="32.840773489447187"/>
    <n v="0"/>
    <n v="0"/>
    <n v="0"/>
    <n v="0"/>
    <n v="70.342754255272666"/>
    <m/>
    <n v="8.773966012318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036216216100179"/>
    <n v="0"/>
    <n v="0"/>
    <n v="0"/>
    <n v="2772.91"/>
    <n v="8"/>
    <m/>
    <m/>
    <m/>
    <m/>
    <m/>
    <m/>
    <m/>
    <m/>
    <m/>
    <n v="1586.6341750969941"/>
    <m/>
    <m/>
    <m/>
    <m/>
    <m/>
    <m/>
    <m/>
    <m/>
    <m/>
    <m/>
    <m/>
    <m/>
    <n v="4086.6229999999996"/>
    <n v="-616.73680000000058"/>
    <m/>
    <m/>
    <m/>
    <m/>
    <n v="-818.15508000000011"/>
    <n v="202.54536000000004"/>
    <n v="31"/>
    <n v="210.99513611386874"/>
    <n v="0"/>
    <n v="0"/>
    <n v="0"/>
    <n v="0"/>
    <n v="0"/>
    <n v="0"/>
    <n v="0"/>
    <n v="27.70287868683522"/>
    <n v="0"/>
    <n v="0"/>
    <n v="202.54152280987796"/>
    <n v="0"/>
    <n v="0"/>
    <n v="0"/>
    <n v="2.0680019569309529"/>
    <n v="0"/>
    <n v="-18.508680187789764"/>
    <m/>
    <n v="0"/>
    <n v="0"/>
    <n v="0"/>
    <n v="0"/>
    <n v="-2.2365857555191582"/>
    <n v="-0.5720013964664421"/>
    <n v="0"/>
    <n v="0"/>
    <m/>
    <m/>
    <m/>
    <n v="1883.9437848696416"/>
    <n v="0"/>
    <n v="0"/>
    <n v="-818.15508"/>
    <n v="202.54536000000007"/>
    <n v="0"/>
    <n v="0"/>
    <n v="-826.62235960838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4"/>
    <s v="Regular"/>
    <s v="Verde"/>
    <s v="A4"/>
    <s v="Comercial"/>
    <s v="Não se aplica"/>
    <s v="Não se aplica"/>
    <s v="Não se aplica"/>
    <s v="Ponta"/>
    <s v="CATIVO"/>
    <x v="1"/>
    <n v="0"/>
    <n v="0"/>
    <n v="2.198"/>
    <n v="2.198"/>
    <n v="2.198"/>
    <n v="2.198"/>
    <m/>
    <n v="2184.0300000000002"/>
    <n v="215.17"/>
    <m/>
    <n v="5273.4416000000001"/>
    <n v="5273.4416000000001"/>
    <n v="3979.23722"/>
    <n v="0"/>
    <n v="116.81345807159028"/>
    <n v="0"/>
    <n v="0"/>
    <n v="0"/>
    <n v="1448.4693970046062"/>
    <n v="3211.119911224785"/>
    <n v="463.25473881108491"/>
    <n v="9.6865298080790279"/>
    <n v="0"/>
    <n v="0"/>
    <n v="0"/>
    <n v="0"/>
    <n v="20.747903093543922"/>
    <m/>
    <n v="1.5163400761718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262106722659726"/>
    <n v="0"/>
    <n v="0"/>
    <n v="0"/>
    <n v="0"/>
    <n v="0"/>
    <m/>
    <m/>
    <m/>
    <m/>
    <m/>
    <m/>
    <m/>
    <m/>
    <m/>
    <n v="465.08094948335088"/>
    <m/>
    <m/>
    <m/>
    <m/>
    <m/>
    <m/>
    <m/>
    <m/>
    <m/>
    <m/>
    <m/>
    <m/>
    <n v="3982.8580000000002"/>
    <n v="-1290.6136000000006"/>
    <m/>
    <m/>
    <m/>
    <m/>
    <n v="-1353.9460200000005"/>
    <n v="59.741640000000011"/>
    <n v="31"/>
    <n v="114.75640629917052"/>
    <n v="0"/>
    <n v="0"/>
    <n v="0"/>
    <n v="0"/>
    <n v="0"/>
    <n v="0"/>
    <n v="0"/>
    <n v="60.28845684806538"/>
    <n v="0"/>
    <n v="0"/>
    <n v="59.740508203987076"/>
    <n v="0"/>
    <n v="0"/>
    <n v="0"/>
    <n v="0.23550488426456817"/>
    <n v="0"/>
    <n v="-4.7495180858697665"/>
    <m/>
    <n v="0"/>
    <n v="0"/>
    <n v="0"/>
    <n v="0"/>
    <n v="-0.65969075290272272"/>
    <n v="-9.8854798374034658E-2"/>
    <n v="0"/>
    <n v="0"/>
    <m/>
    <m/>
    <m/>
    <n v="3211.119911224785"/>
    <n v="0"/>
    <n v="0"/>
    <n v="-1353.9460200000003"/>
    <n v="59.741640000000018"/>
    <n v="0"/>
    <n v="0"/>
    <n v="-1408.9504895634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5"/>
    <s v="Regular"/>
    <s v="Verde"/>
    <s v="A4"/>
    <s v="Comercial"/>
    <s v="Não se aplica"/>
    <s v="Não se aplica"/>
    <s v="Não se aplica"/>
    <s v="Fora ponta"/>
    <s v="CATIVO"/>
    <x v="1"/>
    <n v="0"/>
    <n v="0"/>
    <n v="26.542000000000002"/>
    <n v="26.542000000000002"/>
    <n v="26.542000000000002"/>
    <n v="26.542000000000002"/>
    <m/>
    <n v="64.11"/>
    <n v="215.17"/>
    <m/>
    <n v="7412.6497599999993"/>
    <n v="7412.6497599999993"/>
    <n v="8070.3605200000002"/>
    <n v="0"/>
    <n v="1410.5836233558459"/>
    <n v="0"/>
    <n v="0"/>
    <n v="0"/>
    <n v="0"/>
    <n v="0"/>
    <n v="5594.0433473720732"/>
    <n v="116.9699154531545"/>
    <n v="0"/>
    <n v="0"/>
    <n v="0"/>
    <n v="0"/>
    <n v="250.54178521785389"/>
    <m/>
    <n v="18.310599773318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52449346352798"/>
    <n v="0"/>
    <n v="0"/>
    <n v="0"/>
    <n v="0"/>
    <n v="0"/>
    <m/>
    <m/>
    <m/>
    <m/>
    <m/>
    <m/>
    <m/>
    <m/>
    <m/>
    <n v="5616.0957967184258"/>
    <m/>
    <m/>
    <m/>
    <m/>
    <m/>
    <m/>
    <m/>
    <m/>
    <m/>
    <m/>
    <m/>
    <m/>
    <n v="8069.7524000000003"/>
    <n v="657.07264000000032"/>
    <m/>
    <m/>
    <m/>
    <m/>
    <n v="-63.700799999999965"/>
    <n v="721.41156000000024"/>
    <n v="31"/>
    <n v="657.72898741184417"/>
    <n v="0"/>
    <n v="0"/>
    <n v="0"/>
    <n v="0"/>
    <n v="0"/>
    <n v="0"/>
    <n v="0"/>
    <n v="0"/>
    <n v="0"/>
    <n v="0"/>
    <n v="721.39789297098469"/>
    <n v="0"/>
    <n v="0"/>
    <n v="0"/>
    <n v="2.8438446943358358"/>
    <n v="0"/>
    <n v="-57.35291584856941"/>
    <m/>
    <n v="0"/>
    <n v="0"/>
    <n v="0"/>
    <n v="0"/>
    <n v="-7.9661109934231433"/>
    <n v="-1.1937234114848181"/>
    <n v="0"/>
    <n v="0"/>
    <m/>
    <m/>
    <m/>
    <n v="0"/>
    <n v="0"/>
    <n v="0"/>
    <n v="-63.700799999999845"/>
    <n v="721.41156000000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6"/>
    <s v="Regular"/>
    <s v="Verde"/>
    <s v="A4"/>
    <s v="Comercial"/>
    <s v="Não se aplica"/>
    <s v="Não se aplica"/>
    <s v="Não se aplica"/>
    <s v="Não se aplica"/>
    <s v="CATIVO"/>
    <x v="1"/>
    <n v="95"/>
    <n v="95"/>
    <n v="0"/>
    <n v="0"/>
    <n v="0"/>
    <n v="0"/>
    <n v="28.04"/>
    <m/>
    <m/>
    <n v="2663.7999999999997"/>
    <m/>
    <n v="2663.7999999999997"/>
    <n v="2000.6999999999998"/>
    <n v="0"/>
    <n v="0"/>
    <n v="0"/>
    <n v="0"/>
    <n v="0"/>
    <n v="1051.7143524779085"/>
    <n v="1612.55849052720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59.94"/>
    <n v="1"/>
    <m/>
    <m/>
    <m/>
    <m/>
    <m/>
    <m/>
    <m/>
    <m/>
    <m/>
    <n v="0"/>
    <m/>
    <m/>
    <m/>
    <m/>
    <m/>
    <m/>
    <m/>
    <m/>
    <m/>
    <m/>
    <m/>
    <m/>
    <n v="2000.6999999999998"/>
    <n v="-663.13000000000056"/>
    <m/>
    <m/>
    <m/>
    <m/>
    <n v="-663.1"/>
    <n v="0"/>
    <n v="31"/>
    <n v="43.774646179595493"/>
    <n v="0"/>
    <n v="0"/>
    <n v="0"/>
    <n v="0"/>
    <m/>
    <m/>
    <m/>
    <n v="43.7746461795954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12.5584905272081"/>
    <m/>
    <n v="0"/>
    <n v="0"/>
    <n v="-663.09999999999991"/>
    <m/>
    <n v="0"/>
    <m/>
    <n v="-707.54600808769794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57"/>
    <s v="Regular"/>
    <s v="Branca"/>
    <s v="B3"/>
    <s v="Comercial"/>
    <s v="Não se aplica"/>
    <s v="Não se aplica"/>
    <s v="Não se aplica"/>
    <s v="Ponta"/>
    <s v="CATIVO"/>
    <x v="1"/>
    <n v="0"/>
    <n v="0"/>
    <n v="5.1999999999999998E-2"/>
    <n v="5.1999999999999998E-2"/>
    <n v="5.1999999999999998E-2"/>
    <n v="5.1999999999999998E-2"/>
    <m/>
    <n v="1254.27"/>
    <n v="215.17"/>
    <m/>
    <n v="76.410879999999992"/>
    <n v="76.410879999999992"/>
    <n v="58.45684"/>
    <n v="0"/>
    <n v="3.1765031008977345"/>
    <n v="0"/>
    <n v="0"/>
    <n v="0"/>
    <n v="16.027221514839496"/>
    <n v="45.354188899018318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56.208500000000008"/>
    <n v="-20.232379999999999"/>
    <m/>
    <m/>
    <m/>
    <m/>
    <n v="-19.367399999999996"/>
    <n v="1.4133600000000004"/>
    <n v="31"/>
    <n v="1.9460999256018852"/>
    <n v="0"/>
    <n v="0"/>
    <n v="0"/>
    <n v="0"/>
    <n v="0"/>
    <n v="0"/>
    <n v="0"/>
    <n v="0.6670879306735813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45.354188899018318"/>
    <n v="0"/>
    <n v="0"/>
    <n v="-19.367399999999989"/>
    <n v="1.4133600000000008"/>
    <n v="0"/>
    <n v="0"/>
    <n v="-19.900162067959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8"/>
    <s v="Regular"/>
    <s v="Branca"/>
    <s v="B3"/>
    <s v="Comercial"/>
    <s v="Não se aplica"/>
    <s v="Não se aplica"/>
    <s v="Não se aplica"/>
    <s v="Fora ponta"/>
    <s v="CATIVO"/>
    <x v="1"/>
    <n v="0"/>
    <n v="0"/>
    <n v="0.56000000000000005"/>
    <n v="0.56000000000000005"/>
    <n v="0.56000000000000005"/>
    <n v="0.56000000000000005"/>
    <m/>
    <n v="309.91000000000003"/>
    <n v="215.17"/>
    <m/>
    <n v="294.04480000000001"/>
    <n v="294.04480000000001"/>
    <n v="266.39200000000005"/>
    <n v="0"/>
    <n v="34.208494932744834"/>
    <n v="0"/>
    <n v="0"/>
    <n v="0"/>
    <n v="34.505335426750221"/>
    <n v="97.686037931656728"/>
    <n v="118.02668504741018"/>
    <n v="2.4679056835870137"/>
    <n v="0"/>
    <n v="0"/>
    <n v="0"/>
    <n v="0"/>
    <n v="5.2860899601385798"/>
    <m/>
    <n v="0.65934258815062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50833442050592"/>
    <n v="0"/>
    <n v="0"/>
    <n v="0"/>
    <n v="0"/>
    <n v="0"/>
    <m/>
    <m/>
    <m/>
    <m/>
    <m/>
    <m/>
    <m/>
    <m/>
    <m/>
    <n v="119.23176839161525"/>
    <m/>
    <m/>
    <m/>
    <m/>
    <m/>
    <m/>
    <m/>
    <m/>
    <m/>
    <m/>
    <m/>
    <m/>
    <n v="266.39200000000005"/>
    <n v="-27.682799999999929"/>
    <m/>
    <m/>
    <m/>
    <m/>
    <n v="-42.873600000000025"/>
    <n v="15.220800000000006"/>
    <n v="31"/>
    <n v="15.210162680731372"/>
    <n v="0"/>
    <n v="0"/>
    <n v="0"/>
    <n v="0"/>
    <n v="0"/>
    <n v="0"/>
    <n v="0"/>
    <n v="1.4361873507342509"/>
    <n v="0"/>
    <n v="0"/>
    <n v="15.2205116443279"/>
    <n v="0"/>
    <n v="0"/>
    <n v="0"/>
    <n v="0.15540540739148345"/>
    <n v="0"/>
    <n v="-1.3908831058993911"/>
    <m/>
    <n v="0"/>
    <n v="0"/>
    <n v="0"/>
    <n v="0"/>
    <n v="-0.16807407717266898"/>
    <n v="-4.2984538650188808E-2"/>
    <n v="0"/>
    <n v="0"/>
    <m/>
    <m/>
    <m/>
    <n v="97.686037931656728"/>
    <n v="0"/>
    <n v="0"/>
    <n v="-42.87360000000001"/>
    <n v="15.220799999999997"/>
    <n v="0"/>
    <n v="0"/>
    <n v="-42.86192816599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59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1.4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60"/>
    <s v="Regular"/>
    <s v="Branca"/>
    <s v="B3"/>
    <s v="Comercial"/>
    <s v="Não se aplica"/>
    <s v="Não se aplica"/>
    <s v="Não se aplica"/>
    <s v="Intermediário"/>
    <s v="CATIVO"/>
    <x v="1"/>
    <n v="0"/>
    <n v="0"/>
    <n v="3.5000000000000003E-2"/>
    <n v="3.5000000000000003E-2"/>
    <n v="3.5000000000000003E-2"/>
    <n v="3.5000000000000003E-2"/>
    <m/>
    <n v="782.07"/>
    <n v="215.17"/>
    <m/>
    <n v="34.903400000000005"/>
    <n v="34.903400000000005"/>
    <n v="27.996850000000002"/>
    <n v="0"/>
    <n v="2.1380309332965521"/>
    <n v="0"/>
    <n v="0"/>
    <n v="0"/>
    <n v="6.4712955997893351"/>
    <n v="18.316111853596308"/>
    <n v="7.3766678154631364"/>
    <n v="0.15424410522418835"/>
    <n v="0"/>
    <n v="0"/>
    <n v="0"/>
    <n v="0"/>
    <n v="0.33038062250866124"/>
    <m/>
    <n v="4.12089117594143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5317709012816203E-2"/>
    <n v="0"/>
    <n v="0"/>
    <n v="0"/>
    <n v="0"/>
    <n v="0"/>
    <m/>
    <m/>
    <m/>
    <m/>
    <m/>
    <m/>
    <m/>
    <m/>
    <m/>
    <n v="7.451985524475953"/>
    <m/>
    <m/>
    <m/>
    <m/>
    <m/>
    <m/>
    <m/>
    <m/>
    <m/>
    <m/>
    <m/>
    <m/>
    <n v="31.996400000000001"/>
    <n v="-2.9370000000000047"/>
    <m/>
    <m/>
    <m/>
    <m/>
    <n v="-7.8578500000000044"/>
    <n v="0.95130000000000037"/>
    <n v="31"/>
    <n v="1.1302229012858369"/>
    <n v="0"/>
    <n v="0"/>
    <n v="0"/>
    <n v="0"/>
    <n v="0"/>
    <n v="0"/>
    <n v="0"/>
    <n v="0.2693494431610155"/>
    <n v="0"/>
    <n v="0"/>
    <n v="0.95128197777049373"/>
    <n v="0"/>
    <n v="0"/>
    <n v="0"/>
    <n v="9.7128379619677158E-3"/>
    <n v="0"/>
    <n v="-8.6930194118711945E-2"/>
    <m/>
    <n v="0"/>
    <n v="0"/>
    <n v="0"/>
    <n v="0"/>
    <n v="-1.0504629823291811E-2"/>
    <n v="-2.6865336656368005E-3"/>
    <n v="0"/>
    <n v="0"/>
    <m/>
    <m/>
    <m/>
    <n v="18.316111853596308"/>
    <n v="0"/>
    <n v="0"/>
    <n v="-7.8578500000000027"/>
    <n v="0.95129999999999981"/>
    <n v="0"/>
    <n v="0"/>
    <n v="-8.0366026422166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1"/>
    <s v="Regular"/>
    <s v="Convencional"/>
    <s v="B2"/>
    <s v="Rural"/>
    <s v="Não se aplica"/>
    <s v="Não se aplica"/>
    <s v="Não se aplica"/>
    <s v="Não se aplica"/>
    <s v="CATIVO"/>
    <x v="1"/>
    <n v="0"/>
    <n v="0"/>
    <n v="391.22899999999998"/>
    <n v="391.22899999999998"/>
    <n v="391.22899999999998"/>
    <n v="391.22899999999998"/>
    <m/>
    <n v="415.98"/>
    <n v="215.17"/>
    <m/>
    <n v="246924.18335000001"/>
    <n v="246924.18335000001"/>
    <n v="214604.75565999997"/>
    <n v="0"/>
    <n v="23898.848685790763"/>
    <n v="0"/>
    <n v="0"/>
    <n v="0"/>
    <n v="34942.844032619825"/>
    <n v="98906.795895164396"/>
    <n v="82456.182079309336"/>
    <n v="1724.1362012215423"/>
    <n v="0"/>
    <n v="0"/>
    <n v="0"/>
    <n v="0"/>
    <n v="3692.9851589554573"/>
    <m/>
    <n v="460.632038249254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1.89919941071616"/>
    <n v="0"/>
    <n v="0"/>
    <n v="0"/>
    <n v="52083.06"/>
    <n v="1640"/>
    <m/>
    <m/>
    <m/>
    <m/>
    <m/>
    <n v="25750.692779999998"/>
    <m/>
    <m/>
    <m/>
    <n v="83298.081278720056"/>
    <m/>
    <m/>
    <m/>
    <m/>
    <m/>
    <m/>
    <m/>
    <m/>
    <m/>
    <m/>
    <m/>
    <m/>
    <n v="188854.54560000001"/>
    <n v="-28437.983290000004"/>
    <m/>
    <m/>
    <m/>
    <m/>
    <n v="-42953.031910000005"/>
    <n v="10633.604220000003"/>
    <n v="31"/>
    <n v="11077.216332084412"/>
    <n v="0"/>
    <n v="0"/>
    <n v="0"/>
    <n v="0"/>
    <n v="0"/>
    <n v="0"/>
    <n v="0"/>
    <n v="1454.3974135496392"/>
    <n v="0"/>
    <n v="0"/>
    <n v="10633.402768033513"/>
    <n v="0"/>
    <n v="0"/>
    <n v="0"/>
    <n v="108.56982522921896"/>
    <n v="0"/>
    <n v="-971.70322613912867"/>
    <m/>
    <n v="0"/>
    <n v="0"/>
    <n v="0"/>
    <n v="0"/>
    <n v="-117.42045203247471"/>
    <n v="-30.02999655638348"/>
    <n v="0"/>
    <n v="0"/>
    <m/>
    <m/>
    <m/>
    <n v="98906.795895164396"/>
    <n v="0"/>
    <n v="0"/>
    <n v="-42953.03191000002"/>
    <n v="10633.604219999994"/>
    <n v="0"/>
    <n v="0"/>
    <n v="-43397.562953197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2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153"/>
    <n v="-0.153"/>
    <n v="-0.153"/>
    <n v="-0.153"/>
    <m/>
    <n v="415.98"/>
    <n v="215.17"/>
    <m/>
    <n v="-96.565949999999987"/>
    <n v="-96.565949999999987"/>
    <n v="-83.92662"/>
    <n v="0"/>
    <n v="-9.3462495084106418"/>
    <n v="0"/>
    <n v="0"/>
    <n v="0"/>
    <n v="-13.665283342980285"/>
    <n v="-38.680005244908102"/>
    <n v="-32.246576450453134"/>
    <n v="-0.6742670885514519"/>
    <n v="0"/>
    <n v="0"/>
    <n v="0"/>
    <n v="0"/>
    <n v="-1.4442352926807189"/>
    <m/>
    <n v="-0.18014181426258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2924598511316794"/>
    <n v="0"/>
    <n v="0"/>
    <n v="0"/>
    <n v="-16.21"/>
    <n v="0"/>
    <m/>
    <m/>
    <m/>
    <m/>
    <m/>
    <n v="-10.070459999999999"/>
    <m/>
    <m/>
    <m/>
    <n v="-32.575822435566302"/>
    <m/>
    <m/>
    <m/>
    <m/>
    <m/>
    <m/>
    <m/>
    <m/>
    <m/>
    <m/>
    <m/>
    <m/>
    <n v="-72.408000000000001"/>
    <n v="12.539729999999992"/>
    <m/>
    <m/>
    <m/>
    <m/>
    <n v="16.797870000000003"/>
    <n v="-4.1585400000000012"/>
    <n v="31"/>
    <n v="-4.332025741468307"/>
    <n v="0"/>
    <n v="0"/>
    <n v="0"/>
    <n v="0"/>
    <n v="0"/>
    <n v="0"/>
    <n v="0"/>
    <n v="-0.56877891023695604"/>
    <n v="0"/>
    <n v="0"/>
    <n v="-4.158461217111018"/>
    <n v="0"/>
    <n v="0"/>
    <n v="0"/>
    <n v="-4.2458977376601703E-2"/>
    <n v="0"/>
    <n v="0.3800091342903702"/>
    <m/>
    <n v="0"/>
    <n v="0"/>
    <n v="0"/>
    <n v="0"/>
    <n v="4.5920238941818292E-2"/>
    <n v="1.1743990024069451E-2"/>
    <n v="0"/>
    <n v="0"/>
    <m/>
    <m/>
    <m/>
    <n v="-38.680005244908102"/>
    <n v="0"/>
    <n v="0"/>
    <n v="16.797869999999996"/>
    <n v="-4.1585400000000021"/>
    <n v="0"/>
    <n v="0"/>
    <n v="16.97171511273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3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.456"/>
    <n v="2.456"/>
    <n v="2.456"/>
    <n v="2.456"/>
    <m/>
    <n v="415.98"/>
    <n v="215.17"/>
    <m/>
    <n v="1550.1043999999999"/>
    <n v="1550.1043999999999"/>
    <n v="1347.2142399999998"/>
    <n v="0"/>
    <n v="150.02868491932378"/>
    <n v="0"/>
    <n v="0"/>
    <n v="0"/>
    <n v="219.35905810692535"/>
    <n v="620.90256785290387"/>
    <n v="517.63131870792745"/>
    <n v="10.823529212303045"/>
    <n v="0"/>
    <n v="0"/>
    <n v="0"/>
    <n v="0"/>
    <n v="23.183280253750628"/>
    <m/>
    <n v="2.891688208032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851512381564731"/>
    <n v="0"/>
    <n v="0"/>
    <n v="0"/>
    <n v="1789.9"/>
    <n v="18"/>
    <m/>
    <m/>
    <m/>
    <m/>
    <m/>
    <n v="161.65391999999997"/>
    <m/>
    <m/>
    <m/>
    <n v="522.91646994608391"/>
    <m/>
    <m/>
    <m/>
    <m/>
    <m/>
    <m/>
    <m/>
    <m/>
    <m/>
    <m/>
    <m/>
    <m/>
    <n v="1187.4911999999999"/>
    <n v="-176.62576000000013"/>
    <m/>
    <m/>
    <m/>
    <m/>
    <n v="-269.64424000000002"/>
    <n v="66.754080000000016"/>
    <n v="31"/>
    <n v="69.538923013374074"/>
    <n v="0"/>
    <n v="0"/>
    <n v="0"/>
    <n v="0"/>
    <n v="0"/>
    <n v="0"/>
    <n v="0"/>
    <n v="9.1302026375291803"/>
    <n v="0"/>
    <n v="0"/>
    <n v="66.752815354409563"/>
    <n v="0"/>
    <n v="0"/>
    <n v="0"/>
    <n v="0.681563715274077"/>
    <n v="0"/>
    <n v="-6.1000159073016391"/>
    <m/>
    <n v="0"/>
    <n v="0"/>
    <n v="0"/>
    <n v="0"/>
    <n v="-0.73712488131441845"/>
    <n v="-0.18851790522297129"/>
    <n v="0"/>
    <n v="0"/>
    <m/>
    <m/>
    <m/>
    <n v="620.90256785290387"/>
    <n v="0"/>
    <n v="0"/>
    <n v="-269.64424000000008"/>
    <n v="66.754080000000044"/>
    <n v="0"/>
    <n v="0"/>
    <n v="-272.43485174425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4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5.126999999999999"/>
    <n v="25.126999999999999"/>
    <n v="25.126999999999999"/>
    <n v="25.126999999999999"/>
    <m/>
    <n v="415.98"/>
    <n v="215.17"/>
    <m/>
    <n v="15858.906050000001"/>
    <n v="15858.906050000001"/>
    <n v="13783.164580000001"/>
    <n v="0"/>
    <n v="1534.9229503126417"/>
    <n v="0"/>
    <n v="0"/>
    <n v="0"/>
    <n v="2244.2325134579451"/>
    <n v="6352.3692273778161"/>
    <n v="5295.815205689777"/>
    <n v="110.73404662766229"/>
    <n v="0"/>
    <n v="0"/>
    <n v="0"/>
    <n v="0"/>
    <n v="237.18496862214656"/>
    <m/>
    <n v="29.58446645082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071659267572358"/>
    <n v="0"/>
    <n v="0"/>
    <n v="0"/>
    <n v="5252.62"/>
    <n v="48"/>
    <m/>
    <m/>
    <m/>
    <m/>
    <m/>
    <m/>
    <m/>
    <m/>
    <m/>
    <n v="5349.8868649573496"/>
    <m/>
    <m/>
    <m/>
    <m/>
    <m/>
    <m/>
    <m/>
    <m/>
    <m/>
    <m/>
    <m/>
    <m/>
    <n v="13784.8102"/>
    <n v="-2074.1258500000022"/>
    <m/>
    <m/>
    <m/>
    <m/>
    <n v="-2758.6933300000005"/>
    <n v="682.95186000000012"/>
    <n v="31"/>
    <n v="711.44320788153345"/>
    <n v="0"/>
    <n v="0"/>
    <n v="0"/>
    <n v="0"/>
    <n v="0"/>
    <n v="0"/>
    <n v="0"/>
    <n v="93.409854101464134"/>
    <n v="0"/>
    <n v="0"/>
    <n v="682.93892158397739"/>
    <n v="0"/>
    <n v="0"/>
    <n v="0"/>
    <n v="6.9729851277246482"/>
    <n v="0"/>
    <n v="-62.408428217739129"/>
    <m/>
    <n v="0"/>
    <n v="0"/>
    <n v="0"/>
    <n v="0"/>
    <n v="-7.5414238162815082"/>
    <n v="-1.9287008976130267"/>
    <n v="0"/>
    <n v="0"/>
    <m/>
    <m/>
    <m/>
    <n v="6352.3692273778161"/>
    <n v="0"/>
    <n v="0"/>
    <n v="-2758.693330000001"/>
    <n v="682.95186000000012"/>
    <n v="0"/>
    <n v="0"/>
    <n v="-2787.243696977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5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99.171999999999997"/>
    <n v="99.171999999999997"/>
    <n v="99.171999999999997"/>
    <n v="99.171999999999997"/>
    <m/>
    <n v="228.79"/>
    <n v="118.34"/>
    <m/>
    <n v="34425.576359999999"/>
    <n v="34425.576359999999"/>
    <n v="29919.200679999998"/>
    <n v="0"/>
    <n v="3331.9440584081976"/>
    <n v="0"/>
    <n v="0"/>
    <n v="0"/>
    <n v="4871.6824433302172"/>
    <n v="13789.447150858943"/>
    <n v="11495.925580780246"/>
    <n v="240.37665776603657"/>
    <n v="0"/>
    <n v="0"/>
    <n v="0"/>
    <n v="0"/>
    <n v="514.87082578531249"/>
    <m/>
    <n v="64.220674524358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37640888629809"/>
    <n v="0"/>
    <n v="0"/>
    <n v="0"/>
    <n v="15152.42"/>
    <n v="88"/>
    <m/>
    <m/>
    <m/>
    <m/>
    <m/>
    <m/>
    <m/>
    <m/>
    <m/>
    <n v="11613.301989666543"/>
    <m/>
    <m/>
    <m/>
    <m/>
    <m/>
    <m/>
    <m/>
    <m/>
    <m/>
    <m/>
    <m/>
    <m/>
    <n v="29918.597300000001"/>
    <n v="-4507.0090599999967"/>
    <m/>
    <m/>
    <m/>
    <m/>
    <n v="-5988.9970799999983"/>
    <n v="1482.6213999999989"/>
    <n v="31"/>
    <n v="1544.3700082228934"/>
    <n v="0"/>
    <n v="0"/>
    <n v="0"/>
    <n v="0"/>
    <n v="0"/>
    <n v="0"/>
    <n v="0"/>
    <n v="202.77005325039136"/>
    <n v="0"/>
    <n v="0"/>
    <n v="1482.4941418486505"/>
    <n v="0"/>
    <n v="0"/>
    <n v="0"/>
    <n v="15.13665318572501"/>
    <n v="0"/>
    <n v="-135.47350474649465"/>
    <m/>
    <n v="0"/>
    <n v="0"/>
    <n v="0"/>
    <n v="0"/>
    <n v="-16.37059519598705"/>
    <n v="-4.1867401193914375"/>
    <n v="0"/>
    <n v="0"/>
    <m/>
    <m/>
    <m/>
    <n v="13789.447150858943"/>
    <n v="0"/>
    <n v="0"/>
    <n v="-5988.9970799999974"/>
    <n v="1482.6213999999982"/>
    <n v="0"/>
    <n v="0"/>
    <n v="-6050.427530313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6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408999999999999"/>
    <n v="21.064459999999997"/>
    <n v="22.408999999999999"/>
    <n v="21.064459999999997"/>
    <m/>
    <n v="415.98"/>
    <n v="215.17"/>
    <m/>
    <n v="14143.440350000001"/>
    <n v="14143.440350000001"/>
    <n v="12292.23286"/>
    <n v="0"/>
    <n v="1368.889576692641"/>
    <n v="0"/>
    <n v="0"/>
    <n v="0"/>
    <n v="2001.4727740708836"/>
    <n v="5665.2303106741547"/>
    <n v="4722.964259334668"/>
    <n v="98.755890113395338"/>
    <n v="0"/>
    <n v="0"/>
    <n v="0"/>
    <n v="0"/>
    <n v="211.52855342275967"/>
    <m/>
    <n v="26.3843001033347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222701179091374"/>
    <n v="0"/>
    <n v="0"/>
    <n v="0"/>
    <n v="5494.28"/>
    <n v="4"/>
    <m/>
    <m/>
    <m/>
    <m/>
    <n v="737.53397160000111"/>
    <m/>
    <m/>
    <m/>
    <m/>
    <n v="4771.186960513759"/>
    <m/>
    <m/>
    <m/>
    <m/>
    <m/>
    <m/>
    <m/>
    <m/>
    <m/>
    <m/>
    <m/>
    <m/>
    <n v="11552.252399999999"/>
    <n v="-1742.6115289999998"/>
    <m/>
    <m/>
    <m/>
    <m/>
    <n v="-2460.2841100000005"/>
    <n v="609.07662000000016"/>
    <n v="31"/>
    <n v="634.48604470956525"/>
    <n v="0"/>
    <n v="0"/>
    <n v="0"/>
    <n v="0"/>
    <n v="0"/>
    <n v="0"/>
    <n v="0"/>
    <n v="83.305664049019015"/>
    <n v="0"/>
    <n v="0"/>
    <n v="609.06508113882956"/>
    <n v="0"/>
    <n v="0"/>
    <n v="0"/>
    <n v="6.2187138825638399"/>
    <n v="0"/>
    <n v="-55.657677714463262"/>
    <m/>
    <n v="0"/>
    <n v="0"/>
    <n v="0"/>
    <n v="0"/>
    <n v="-6.7256642774327418"/>
    <n v="-1.7200723689501487"/>
    <n v="0"/>
    <n v="0"/>
    <m/>
    <m/>
    <m/>
    <n v="5665.2303106741547"/>
    <n v="0"/>
    <n v="0"/>
    <n v="-2460.2841100000014"/>
    <n v="609.07661999999982"/>
    <n v="0"/>
    <n v="0"/>
    <n v="-2485.7461696812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7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1.5369999999999999"/>
    <n v="1.5369999999999999"/>
    <n v="1.5369999999999999"/>
    <n v="1.5369999999999999"/>
    <m/>
    <n v="415.98"/>
    <n v="215.17"/>
    <m/>
    <n v="970.07754999999997"/>
    <n v="970.07754999999997"/>
    <n v="843.10597999999993"/>
    <n v="0"/>
    <n v="93.890101270765726"/>
    <n v="0"/>
    <n v="0"/>
    <n v="0"/>
    <n v="137.27804247163854"/>
    <n v="388.56972589165849"/>
    <n v="323.94109806762395"/>
    <n v="6.7735197065593571"/>
    <n v="0"/>
    <n v="0"/>
    <n v="0"/>
    <n v="0"/>
    <n v="14.508429051308921"/>
    <m/>
    <n v="1.8096599249777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075233929342427"/>
    <n v="0"/>
    <n v="0"/>
    <n v="0"/>
    <n v="371.27"/>
    <n v="3"/>
    <m/>
    <m/>
    <m/>
    <m/>
    <m/>
    <m/>
    <m/>
    <m/>
    <m/>
    <n v="327.24862146055818"/>
    <m/>
    <m/>
    <m/>
    <m/>
    <m/>
    <m/>
    <m/>
    <m/>
    <m/>
    <m/>
    <m/>
    <m/>
    <n v="844.75160000000005"/>
    <n v="-125.35594999999989"/>
    <m/>
    <m/>
    <m/>
    <m/>
    <n v="-168.74723000000003"/>
    <n v="41.775660000000009"/>
    <n v="31"/>
    <n v="43.518454670828874"/>
    <n v="0"/>
    <n v="0"/>
    <n v="0"/>
    <n v="0"/>
    <n v="0"/>
    <n v="0"/>
    <n v="0"/>
    <n v="5.7138116668901944"/>
    <n v="0"/>
    <n v="0"/>
    <n v="41.774868566664281"/>
    <n v="0"/>
    <n v="0"/>
    <n v="0"/>
    <n v="0.42653234135841034"/>
    <n v="0"/>
    <n v="-3.8174773817274428"/>
    <m/>
    <n v="0"/>
    <n v="0"/>
    <n v="0"/>
    <n v="0"/>
    <n v="-0.46130331538284253"/>
    <n v="-0.11797720697382186"/>
    <n v="0"/>
    <n v="0"/>
    <m/>
    <m/>
    <m/>
    <n v="388.56972589165849"/>
    <n v="0"/>
    <n v="0"/>
    <n v="-168.74723000000006"/>
    <n v="41.775660000000016"/>
    <n v="0"/>
    <n v="0"/>
    <n v="-170.49363482529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68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58.74"/>
    <n v="3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69"/>
    <s v="Refaturamento - 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0.5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70"/>
    <s v="Regular"/>
    <s v="Convencional"/>
    <s v="B2"/>
    <s v="Rural"/>
    <s v="Agropecuária rural"/>
    <s v="IRRIG./AQUIC."/>
    <s v="Não se aplica"/>
    <s v="Não se aplica"/>
    <s v="CATIVO"/>
    <x v="1"/>
    <n v="0"/>
    <n v="0"/>
    <n v="7.9189999999999996"/>
    <n v="7.9189999999999996"/>
    <n v="7.9189999999999996"/>
    <n v="7.9189999999999996"/>
    <m/>
    <n v="415.98"/>
    <n v="215.17"/>
    <m/>
    <n v="4998.0768499999995"/>
    <n v="4998.0768499999995"/>
    <n v="4343.8882599999997"/>
    <n v="0"/>
    <n v="483.74477030786841"/>
    <n v="0"/>
    <n v="0"/>
    <n v="0"/>
    <n v="707.29005747098608"/>
    <n v="2002.0062845387401"/>
    <n v="1669.0237837329305"/>
    <n v="34.898830550581359"/>
    <n v="0"/>
    <n v="0"/>
    <n v="0"/>
    <n v="0"/>
    <n v="74.750975704173939"/>
    <m/>
    <n v="9.3238106349372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04116964778547"/>
    <n v="0"/>
    <n v="0"/>
    <n v="0"/>
    <n v="0"/>
    <n v="0"/>
    <m/>
    <m/>
    <m/>
    <m/>
    <m/>
    <n v="521.22857999999997"/>
    <m/>
    <m/>
    <m/>
    <n v="1686.0649533807159"/>
    <m/>
    <m/>
    <m/>
    <m/>
    <m/>
    <m/>
    <m/>
    <m/>
    <m/>
    <m/>
    <m/>
    <m/>
    <n v="3823.1423999999997"/>
    <n v="-575.17939000000024"/>
    <m/>
    <m/>
    <m/>
    <m/>
    <n v="-869.42701000000011"/>
    <n v="215.23842000000005"/>
    <n v="31"/>
    <n v="224.21772448815454"/>
    <n v="0"/>
    <n v="0"/>
    <n v="0"/>
    <n v="0"/>
    <n v="0"/>
    <n v="0"/>
    <n v="0"/>
    <n v="29.438955491283991"/>
    <n v="0"/>
    <n v="0"/>
    <n v="215.23434234184424"/>
    <n v="0"/>
    <n v="0"/>
    <n v="0"/>
    <n v="2.1975989663092079"/>
    <n v="0"/>
    <n v="-19.668577349316536"/>
    <m/>
    <n v="0"/>
    <n v="0"/>
    <n v="0"/>
    <n v="0"/>
    <n v="-2.3767475305899382"/>
    <n v="-0.60784743137651098"/>
    <n v="0"/>
    <n v="0"/>
    <m/>
    <m/>
    <m/>
    <n v="2002.0062845387401"/>
    <n v="0"/>
    <n v="0"/>
    <n v="-869.42700999999988"/>
    <n v="215.23841999999991"/>
    <n v="0"/>
    <n v="0"/>
    <n v="-878.42491488712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1"/>
    <s v="Refaturamento - Regular"/>
    <s v="Convencional"/>
    <s v="B2"/>
    <s v="Rural"/>
    <s v="Agropecuária rural"/>
    <s v="IRRIG./AQUIC."/>
    <s v="Não se aplica"/>
    <s v="Não se aplica"/>
    <s v="CATIVO"/>
    <x v="1"/>
    <n v="0"/>
    <n v="0"/>
    <n v="-0.1"/>
    <n v="-0.1"/>
    <n v="-0.1"/>
    <n v="-0.1"/>
    <m/>
    <n v="415.98"/>
    <n v="215.17"/>
    <m/>
    <n v="-63.115000000000009"/>
    <n v="-63.115000000000009"/>
    <n v="-54.853999999999999"/>
    <n v="0"/>
    <n v="-6.1086598094187208"/>
    <n v="0"/>
    <n v="0"/>
    <n v="0"/>
    <n v="-8.9315577405099909"/>
    <n v="-25.281049179678501"/>
    <n v="-21.076193758466104"/>
    <n v="-0.44069744349768103"/>
    <n v="0"/>
    <n v="0"/>
    <n v="0"/>
    <n v="0"/>
    <n v="-0.94394463573903209"/>
    <m/>
    <n v="-0.11773974788404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15193454322332"/>
    <n v="0"/>
    <n v="0"/>
    <n v="0"/>
    <n v="0"/>
    <n v="0"/>
    <m/>
    <m/>
    <m/>
    <m/>
    <m/>
    <n v="-6.5819999999999999"/>
    <m/>
    <m/>
    <m/>
    <n v="-21.291387212788436"/>
    <m/>
    <m/>
    <m/>
    <m/>
    <m/>
    <m/>
    <m/>
    <m/>
    <m/>
    <m/>
    <m/>
    <m/>
    <n v="-48.272000000000006"/>
    <n v="7.2389999999999972"/>
    <m/>
    <m/>
    <m/>
    <m/>
    <n v="10.979000000000003"/>
    <n v="-2.7180000000000009"/>
    <n v="31"/>
    <n v="-2.8313893735087063"/>
    <n v="0"/>
    <n v="0"/>
    <n v="0"/>
    <n v="0"/>
    <n v="0"/>
    <n v="0"/>
    <n v="0"/>
    <n v="-0.37175092172349977"/>
    <n v="0"/>
    <n v="0"/>
    <n v="-2.7179485079156969"/>
    <n v="0"/>
    <n v="0"/>
    <n v="0"/>
    <n v="-2.7750965605622013E-2"/>
    <n v="0"/>
    <n v="0.24837198319632048"/>
    <m/>
    <n v="0"/>
    <n v="0"/>
    <n v="0"/>
    <n v="0"/>
    <n v="3.0013228066548048E-2"/>
    <n v="7.6758104732480154E-3"/>
    <n v="0"/>
    <n v="0"/>
    <m/>
    <m/>
    <m/>
    <n v="-25.281049179678501"/>
    <n v="0"/>
    <n v="0"/>
    <n v="10.979000000000006"/>
    <n v="-2.718"/>
    <n v="0"/>
    <n v="0"/>
    <n v="11.09262425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2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4.2409999999999997"/>
    <n v="1.6963999999999999"/>
    <n v="4.2409999999999997"/>
    <n v="1.6963999999999999"/>
    <m/>
    <n v="415.98"/>
    <n v="215.17"/>
    <m/>
    <n v="2676.7071499999997"/>
    <n v="2676.7071499999997"/>
    <n v="2326.3581399999998"/>
    <n v="0"/>
    <n v="259.06826251744792"/>
    <n v="0"/>
    <n v="0"/>
    <n v="0"/>
    <n v="378.78736377502867"/>
    <n v="1072.169295710165"/>
    <n v="893.84137729654731"/>
    <n v="18.68997857873665"/>
    <n v="0"/>
    <n v="0"/>
    <n v="0"/>
    <n v="0"/>
    <n v="40.032692001692347"/>
    <m/>
    <n v="4.9933427077621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263543978100987"/>
    <n v="0"/>
    <n v="0"/>
    <n v="0"/>
    <n v="0"/>
    <n v="0"/>
    <m/>
    <m/>
    <m/>
    <m/>
    <m/>
    <m/>
    <n v="1507.4719320000002"/>
    <m/>
    <m/>
    <n v="902.96773169435744"/>
    <m/>
    <m/>
    <m/>
    <m/>
    <m/>
    <m/>
    <m/>
    <m/>
    <m/>
    <m/>
    <m/>
    <m/>
    <n v="820.62400000000002"/>
    <n v="-121.60352399999988"/>
    <m/>
    <m/>
    <m/>
    <m/>
    <n v="-465.61939000000007"/>
    <n v="115.27038000000002"/>
    <n v="31"/>
    <n v="120.07922333050442"/>
    <n v="0"/>
    <n v="0"/>
    <n v="0"/>
    <n v="0"/>
    <n v="0"/>
    <n v="0"/>
    <n v="0"/>
    <n v="15.765956590293627"/>
    <n v="0"/>
    <n v="0"/>
    <n v="115.26819622070479"/>
    <n v="0"/>
    <n v="0"/>
    <n v="0"/>
    <n v="1.17691845133443"/>
    <n v="0"/>
    <n v="-10.533455807355949"/>
    <m/>
    <n v="0"/>
    <n v="0"/>
    <n v="0"/>
    <n v="0"/>
    <n v="-1.2728610023022995"/>
    <n v="-0.32553112217044866"/>
    <n v="0"/>
    <n v="0"/>
    <m/>
    <m/>
    <m/>
    <n v="1072.169295710165"/>
    <n v="0"/>
    <n v="0"/>
    <n v="-465.61938999999984"/>
    <n v="115.27037999999993"/>
    <n v="0"/>
    <n v="0"/>
    <n v="-470.4381947261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3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7.5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74"/>
    <s v="Regular"/>
    <s v="Convencional"/>
    <s v="B2"/>
    <s v="Rural"/>
    <s v="Aquicultura"/>
    <s v="IRRIG./AQUIC."/>
    <s v="Não se aplica"/>
    <s v="Não se aplica"/>
    <s v="CATIVO"/>
    <x v="1"/>
    <n v="0"/>
    <n v="0"/>
    <n v="0.17899999999999999"/>
    <n v="0.17899999999999999"/>
    <n v="0.17899999999999999"/>
    <n v="0.17899999999999999"/>
    <m/>
    <n v="415.98"/>
    <n v="215.17"/>
    <m/>
    <n v="112.97584999999999"/>
    <n v="112.97584999999999"/>
    <n v="98.188659999999999"/>
    <n v="0"/>
    <n v="10.934501058859508"/>
    <n v="0"/>
    <n v="0"/>
    <n v="0"/>
    <n v="15.987488355512882"/>
    <n v="45.253078031624511"/>
    <n v="37.726386827654316"/>
    <n v="0.78884842386084897"/>
    <n v="0"/>
    <n v="0"/>
    <n v="0"/>
    <n v="0"/>
    <n v="1.6896608979728673"/>
    <m/>
    <n v="0.21075414871243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8519628323697425"/>
    <n v="0"/>
    <n v="0"/>
    <n v="0"/>
    <n v="0"/>
    <n v="0"/>
    <m/>
    <m/>
    <m/>
    <m/>
    <m/>
    <n v="11.781779999999998"/>
    <m/>
    <m/>
    <m/>
    <n v="38.111583110891289"/>
    <m/>
    <m/>
    <m/>
    <m/>
    <m/>
    <m/>
    <m/>
    <m/>
    <m/>
    <m/>
    <m/>
    <m/>
    <n v="86.889600000000002"/>
    <n v="-12.558790000000002"/>
    <m/>
    <m/>
    <m/>
    <m/>
    <n v="-19.652410000000003"/>
    <n v="4.8652200000000008"/>
    <n v="31"/>
    <n v="5.0681869785805702"/>
    <n v="0"/>
    <n v="0"/>
    <n v="0"/>
    <n v="0"/>
    <n v="0"/>
    <n v="0"/>
    <n v="0"/>
    <n v="0.66543414988506377"/>
    <n v="0"/>
    <n v="0"/>
    <n v="4.8651278291691042"/>
    <n v="0"/>
    <n v="0"/>
    <n v="0"/>
    <n v="4.9674228434063439E-2"/>
    <n v="0"/>
    <n v="-0.44458584992141148"/>
    <m/>
    <n v="0"/>
    <n v="0"/>
    <n v="0"/>
    <n v="0"/>
    <n v="-5.3723678239121053E-2"/>
    <n v="-1.3739700747113948E-2"/>
    <n v="0"/>
    <n v="0"/>
    <m/>
    <m/>
    <m/>
    <n v="45.253078031624511"/>
    <n v="0"/>
    <n v="0"/>
    <n v="-19.652410000000003"/>
    <n v="4.8652200000000008"/>
    <n v="0"/>
    <n v="0"/>
    <n v="-19.85579741947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5"/>
    <s v="Regular"/>
    <s v="Convencional"/>
    <s v="B2"/>
    <s v="Rural"/>
    <s v="Aquicultura"/>
    <s v="IRRIG./AQUIC. PR"/>
    <s v="Não se aplica"/>
    <s v="Não se aplica"/>
    <s v="CATIVO"/>
    <x v="1"/>
    <n v="0"/>
    <n v="0"/>
    <n v="1.417"/>
    <n v="0.56679999999999997"/>
    <n v="1.417"/>
    <n v="0.56679999999999997"/>
    <m/>
    <n v="415.98"/>
    <n v="215.17"/>
    <m/>
    <n v="894.33955000000003"/>
    <n v="894.33955000000003"/>
    <n v="777.28117999999995"/>
    <n v="0"/>
    <n v="86.559709499463267"/>
    <n v="0"/>
    <n v="0"/>
    <n v="0"/>
    <n v="126.56017318302656"/>
    <n v="358.23246687604433"/>
    <n v="298.64966555746469"/>
    <n v="6.2446827743621398"/>
    <n v="0"/>
    <n v="0"/>
    <n v="0"/>
    <n v="0"/>
    <n v="13.375695488422084"/>
    <m/>
    <n v="1.668372227516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492912477474445"/>
    <n v="0"/>
    <n v="0"/>
    <n v="0"/>
    <n v="0"/>
    <n v="0"/>
    <m/>
    <m/>
    <m/>
    <m/>
    <m/>
    <m/>
    <n v="503.67548399999998"/>
    <m/>
    <m/>
    <n v="301.69895680521211"/>
    <m/>
    <m/>
    <m/>
    <m/>
    <m/>
    <m/>
    <m/>
    <m/>
    <m/>
    <m/>
    <m/>
    <m/>
    <n v="275.15039999999999"/>
    <n v="-39.685987999999952"/>
    <m/>
    <m/>
    <m/>
    <m/>
    <n v="-155.57243000000003"/>
    <n v="38.514060000000008"/>
    <n v="31"/>
    <n v="40.12078742261815"/>
    <n v="0"/>
    <n v="0"/>
    <n v="0"/>
    <n v="0"/>
    <n v="0"/>
    <n v="0"/>
    <n v="0"/>
    <n v="5.2677105608219961"/>
    <n v="0"/>
    <n v="0"/>
    <n v="38.513330357165444"/>
    <n v="0"/>
    <n v="0"/>
    <n v="0"/>
    <n v="0.39323118263166412"/>
    <n v="0"/>
    <n v="-3.5194310018918458"/>
    <m/>
    <n v="0"/>
    <n v="0"/>
    <n v="0"/>
    <n v="0"/>
    <n v="-0.42528744170298438"/>
    <n v="-0.10876623440592437"/>
    <n v="0"/>
    <n v="0"/>
    <m/>
    <m/>
    <m/>
    <n v="358.23246687604433"/>
    <n v="0"/>
    <n v="0"/>
    <n v="-155.57243"/>
    <n v="38.514059999999972"/>
    <n v="0"/>
    <n v="0"/>
    <n v="-157.1824857172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6"/>
    <s v="Regular"/>
    <s v="Convencional"/>
    <s v="B1"/>
    <s v="Residencial"/>
    <s v="Residencial"/>
    <s v="Não se aplica"/>
    <s v="Não se aplica"/>
    <s v="Não se aplica"/>
    <s v="CATIVO"/>
    <x v="2"/>
    <n v="0"/>
    <n v="0"/>
    <n v="467.74700000000001"/>
    <n v="467.74700000000001"/>
    <n v="467.74700000000001"/>
    <n v="467.74700000000001"/>
    <m/>
    <n v="415.98"/>
    <n v="215.17"/>
    <m/>
    <n v="295218.51905"/>
    <n v="295218.51905"/>
    <n v="256577.93938"/>
    <n v="0"/>
    <n v="28573.072998761781"/>
    <n v="0"/>
    <n v="0"/>
    <n v="0"/>
    <n v="41777.093384503263"/>
    <n v="118251.34910647079"/>
    <n v="98583.26401941244"/>
    <n v="2061.3490710370979"/>
    <n v="0"/>
    <n v="0"/>
    <n v="0"/>
    <n v="0"/>
    <n v="4415.2727153302503"/>
    <m/>
    <n v="550.72413853516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6.5609267890783"/>
    <n v="0"/>
    <n v="0"/>
    <n v="0"/>
    <n v="62155.71"/>
    <n v="2835"/>
    <m/>
    <m/>
    <m/>
    <m/>
    <m/>
    <m/>
    <m/>
    <m/>
    <m/>
    <n v="99589.824946201523"/>
    <m/>
    <m/>
    <m/>
    <m/>
    <m/>
    <m/>
    <m/>
    <m/>
    <m/>
    <m/>
    <m/>
    <m/>
    <n v="256579.58499999999"/>
    <n v="-38638.964050000039"/>
    <m/>
    <m/>
    <m/>
    <m/>
    <n v="-51353.943130000014"/>
    <n v="12713.363460000004"/>
    <n v="30"/>
    <n v="13243.73885290575"/>
    <n v="0"/>
    <n v="0"/>
    <n v="0"/>
    <n v="0"/>
    <n v="0"/>
    <n v="0"/>
    <n v="0"/>
    <n v="1738.8537838340199"/>
    <n v="0"/>
    <n v="0"/>
    <n v="12713.122607320445"/>
    <n v="0"/>
    <n v="0"/>
    <n v="0"/>
    <n v="129.80430909132872"/>
    <n v="0"/>
    <n v="-1161.7525002412913"/>
    <m/>
    <n v="0"/>
    <n v="0"/>
    <n v="0"/>
    <n v="0"/>
    <n v="-140.38597388443668"/>
    <n v="-35.903373214303315"/>
    <n v="0"/>
    <n v="0"/>
    <m/>
    <m/>
    <m/>
    <n v="118251.34910647079"/>
    <n v="0"/>
    <n v="0"/>
    <n v="-51353.943130000029"/>
    <n v="12713.363460000008"/>
    <n v="0"/>
    <n v="0"/>
    <n v="-51885.417181930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03"/>
    <n v="-0.03"/>
    <n v="-0.03"/>
    <n v="-0.03"/>
    <m/>
    <n v="415.98"/>
    <n v="215.17"/>
    <m/>
    <n v="-18.9345"/>
    <n v="-18.9345"/>
    <n v="-16.456199999999999"/>
    <n v="0"/>
    <n v="-1.8325979428256161"/>
    <n v="0"/>
    <n v="0"/>
    <n v="0"/>
    <n v="-2.679467322152997"/>
    <n v="-7.5843147539035494"/>
    <n v="-6.3228581275398303"/>
    <n v="-0.13220923304930429"/>
    <n v="0"/>
    <n v="0"/>
    <n v="0"/>
    <n v="0"/>
    <n v="-0.28318339072170962"/>
    <m/>
    <n v="-3.53219243652123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4558036296699595E-2"/>
    <n v="0"/>
    <n v="0"/>
    <n v="0"/>
    <n v="-6.9"/>
    <n v="0"/>
    <m/>
    <m/>
    <m/>
    <m/>
    <m/>
    <m/>
    <m/>
    <m/>
    <m/>
    <n v="-6.3874161638365301"/>
    <m/>
    <m/>
    <m/>
    <m/>
    <m/>
    <m/>
    <m/>
    <m/>
    <m/>
    <m/>
    <m/>
    <m/>
    <n v="-16.456199999999999"/>
    <n v="2.4482999999999997"/>
    <m/>
    <m/>
    <m/>
    <m/>
    <n v="3.2937000000000003"/>
    <n v="-0.81540000000000012"/>
    <n v="30"/>
    <n v="-0.84941681205261332"/>
    <n v="0"/>
    <n v="0"/>
    <n v="0"/>
    <n v="0"/>
    <n v="0"/>
    <n v="0"/>
    <n v="0"/>
    <n v="-0.11152527651705002"/>
    <n v="0"/>
    <n v="0"/>
    <n v="-0.81538455237470941"/>
    <n v="0"/>
    <n v="0"/>
    <n v="0"/>
    <n v="-8.3252896816866095E-3"/>
    <n v="0"/>
    <n v="7.4511594958895921E-2"/>
    <m/>
    <n v="0"/>
    <n v="0"/>
    <n v="0"/>
    <n v="0"/>
    <n v="9.0039684199644254E-3"/>
    <n v="2.3027431419744074E-3"/>
    <n v="0"/>
    <n v="0"/>
    <m/>
    <m/>
    <m/>
    <n v="-7.5843147539035494"/>
    <n v="0"/>
    <n v="0"/>
    <n v="3.2937000000000012"/>
    <n v="-0.81540000000000035"/>
    <n v="0"/>
    <n v="0"/>
    <n v="3.32778727700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2.274"/>
    <n v="2.274"/>
    <n v="2.274"/>
    <n v="2.274"/>
    <m/>
    <n v="415.98"/>
    <n v="215.17"/>
    <m/>
    <n v="1435.2350999999999"/>
    <n v="1435.2350999999999"/>
    <n v="1247.37996"/>
    <n v="0"/>
    <n v="138.91092406618171"/>
    <n v="0"/>
    <n v="0"/>
    <n v="0"/>
    <n v="203.10362301919719"/>
    <n v="574.89105834588906"/>
    <n v="479.27264606751913"/>
    <n v="10.021459865137267"/>
    <n v="0"/>
    <n v="0"/>
    <n v="0"/>
    <n v="0"/>
    <n v="21.465301016705588"/>
    <m/>
    <n v="2.6774018668830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934991512898298"/>
    <n v="0"/>
    <n v="0"/>
    <n v="0"/>
    <n v="801.63"/>
    <n v="18"/>
    <m/>
    <m/>
    <m/>
    <m/>
    <m/>
    <m/>
    <m/>
    <m/>
    <m/>
    <n v="484.16614521880894"/>
    <m/>
    <m/>
    <m/>
    <m/>
    <m/>
    <m/>
    <m/>
    <m/>
    <m/>
    <m/>
    <m/>
    <m/>
    <n v="1245.1858"/>
    <n v="-190.07929999999988"/>
    <m/>
    <m/>
    <m/>
    <m/>
    <n v="-249.66246000000004"/>
    <n v="61.807320000000018"/>
    <n v="30"/>
    <n v="64.385794353587926"/>
    <n v="0"/>
    <n v="0"/>
    <n v="0"/>
    <n v="0"/>
    <n v="0"/>
    <n v="0"/>
    <n v="0"/>
    <n v="8.4536159599923906"/>
    <n v="0"/>
    <n v="0"/>
    <n v="61.806149070002959"/>
    <n v="0"/>
    <n v="0"/>
    <n v="0"/>
    <n v="0.63105695787184413"/>
    <n v="0"/>
    <n v="-5.6479788978843146"/>
    <m/>
    <n v="0"/>
    <n v="0"/>
    <n v="0"/>
    <n v="0"/>
    <n v="-0.68250080623329978"/>
    <n v="-0.17454793016166015"/>
    <n v="0"/>
    <n v="0"/>
    <m/>
    <m/>
    <m/>
    <n v="574.89105834588906"/>
    <n v="0"/>
    <n v="0"/>
    <n v="-249.66246000000001"/>
    <n v="61.807320000000004"/>
    <n v="0"/>
    <n v="0"/>
    <n v="-252.24627559708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7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5.34"/>
    <n v="5.34"/>
    <n v="5.34"/>
    <n v="5.34"/>
    <m/>
    <n v="345.46"/>
    <n v="215.17"/>
    <m/>
    <n v="2993.7641999999996"/>
    <n v="2993.7641999999996"/>
    <n v="2567.4719999999998"/>
    <n v="0"/>
    <n v="0"/>
    <n v="0"/>
    <n v="0"/>
    <n v="0"/>
    <n v="476.94518334323345"/>
    <n v="1350.0080261948317"/>
    <n v="1125.4687467020897"/>
    <n v="23.533243482776165"/>
    <n v="0"/>
    <n v="0"/>
    <n v="0"/>
    <n v="0"/>
    <n v="0"/>
    <m/>
    <n v="6.2873025370077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91330460812527"/>
    <n v="0"/>
    <n v="0"/>
    <n v="0"/>
    <n v="121.76"/>
    <n v="9"/>
    <m/>
    <m/>
    <m/>
    <m/>
    <m/>
    <m/>
    <m/>
    <n v="1668.8568"/>
    <m/>
    <n v="1136.9600771629023"/>
    <m/>
    <m/>
    <m/>
    <m/>
    <m/>
    <m/>
    <m/>
    <m/>
    <m/>
    <m/>
    <m/>
    <m/>
    <n v="898.61519999999996"/>
    <n v="-149.22960000000012"/>
    <m/>
    <m/>
    <m/>
    <m/>
    <n v="-571.43339999999989"/>
    <n v="145.14120000000003"/>
    <n v="30"/>
    <n v="166.0619628268023"/>
    <n v="0"/>
    <n v="0"/>
    <n v="0"/>
    <n v="0"/>
    <n v="0"/>
    <n v="0"/>
    <n v="0"/>
    <n v="19.851499220034952"/>
    <n v="0"/>
    <n v="0"/>
    <n v="145.13845032269842"/>
    <n v="0"/>
    <n v="0"/>
    <n v="0"/>
    <n v="1.4819015633402159"/>
    <n v="0"/>
    <n v="0"/>
    <m/>
    <n v="0"/>
    <n v="0"/>
    <n v="0"/>
    <n v="0"/>
    <n v="0"/>
    <n v="-0.40988827927144467"/>
    <n v="0"/>
    <n v="0"/>
    <m/>
    <m/>
    <m/>
    <n v="1350.0080261948317"/>
    <n v="0"/>
    <n v="0"/>
    <n v="-571.43339999999989"/>
    <n v="145.14120000000003"/>
    <n v="0"/>
    <n v="0"/>
    <n v="-592.34613530713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0.894"/>
    <n v="10.894"/>
    <n v="10.894"/>
    <n v="10.894"/>
    <m/>
    <n v="345.46"/>
    <n v="215.17"/>
    <m/>
    <n v="6107.5032199999996"/>
    <n v="6107.5032199999996"/>
    <n v="5237.8351999999995"/>
    <n v="0"/>
    <n v="0"/>
    <n v="0"/>
    <n v="0"/>
    <n v="0"/>
    <n v="973.00390025115837"/>
    <n v="2754.1174976341758"/>
    <n v="2296.0405480472973"/>
    <n v="48.009579494637372"/>
    <n v="0"/>
    <n v="0"/>
    <n v="0"/>
    <n v="0"/>
    <n v="0"/>
    <m/>
    <n v="12.826568134487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443174913874849"/>
    <n v="0"/>
    <n v="0"/>
    <n v="0"/>
    <n v="439.26"/>
    <n v="40"/>
    <m/>
    <m/>
    <m/>
    <m/>
    <m/>
    <m/>
    <m/>
    <n v="2095.1340799999998"/>
    <m/>
    <n v="2319.4837229611721"/>
    <m/>
    <m/>
    <m/>
    <m/>
    <m/>
    <m/>
    <m/>
    <m/>
    <m/>
    <m/>
    <m/>
    <m/>
    <n v="3141.5472"/>
    <n v="-522.89758000000074"/>
    <m/>
    <m/>
    <m/>
    <m/>
    <n v="-1165.76694"/>
    <n v="296.09892000000008"/>
    <n v="30"/>
    <n v="338.77884326501498"/>
    <n v="0"/>
    <n v="0"/>
    <n v="0"/>
    <n v="0"/>
    <n v="0"/>
    <n v="0"/>
    <n v="0"/>
    <n v="40.498545412558087"/>
    <n v="0"/>
    <n v="0"/>
    <n v="296.09331045233603"/>
    <n v="0"/>
    <n v="0"/>
    <n v="0"/>
    <n v="3.0231901930764629"/>
    <n v="0"/>
    <n v="0"/>
    <m/>
    <n v="0"/>
    <n v="0"/>
    <n v="0"/>
    <n v="0"/>
    <n v="0"/>
    <n v="-0.83620279295563904"/>
    <n v="0"/>
    <n v="0"/>
    <m/>
    <m/>
    <m/>
    <n v="2754.1174976341758"/>
    <n v="0"/>
    <n v="0"/>
    <n v="-1165.7669399999995"/>
    <n v="296.09891999999991"/>
    <n v="0"/>
    <n v="0"/>
    <n v="-1208.4304865235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9.7710000000000008"/>
    <n v="9.7710000000000008"/>
    <n v="9.7710000000000008"/>
    <n v="9.7710000000000008"/>
    <m/>
    <n v="345.46"/>
    <n v="215.17"/>
    <m/>
    <n v="5477.9157300000006"/>
    <n v="5477.9157300000006"/>
    <n v="4697.8968000000004"/>
    <n v="0"/>
    <n v="0"/>
    <n v="0"/>
    <n v="0"/>
    <n v="0"/>
    <n v="872.70250682523124"/>
    <n v="2470.2113153463865"/>
    <n v="2059.3548921397228"/>
    <n v="43.060547204158418"/>
    <n v="0"/>
    <n v="0"/>
    <n v="0"/>
    <n v="0"/>
    <n v="0"/>
    <m/>
    <n v="11.504350765749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02655242183506"/>
    <n v="0"/>
    <n v="0"/>
    <n v="0"/>
    <n v="1020.95"/>
    <n v="93"/>
    <m/>
    <m/>
    <m/>
    <m/>
    <m/>
    <m/>
    <m/>
    <n v="469.88738999999975"/>
    <m/>
    <n v="2080.3814445615581"/>
    <m/>
    <m/>
    <m/>
    <m/>
    <m/>
    <m/>
    <m/>
    <m/>
    <m/>
    <m/>
    <m/>
    <m/>
    <n v="4227.5766999999996"/>
    <n v="-702.50906000000214"/>
    <m/>
    <m/>
    <m/>
    <m/>
    <n v="-1045.5947100000001"/>
    <n v="265.57578000000007"/>
    <n v="30"/>
    <n v="303.85607467803038"/>
    <n v="0"/>
    <n v="0"/>
    <n v="0"/>
    <n v="0"/>
    <n v="0"/>
    <n v="0"/>
    <n v="0"/>
    <n v="36.323782561603252"/>
    <n v="0"/>
    <n v="0"/>
    <n v="265.57074870844326"/>
    <n v="0"/>
    <n v="0"/>
    <n v="0"/>
    <n v="2.7115468493253303"/>
    <n v="0"/>
    <n v="0"/>
    <m/>
    <n v="0"/>
    <n v="0"/>
    <n v="0"/>
    <n v="0"/>
    <n v="0"/>
    <n v="-0.75000344134106278"/>
    <n v="0"/>
    <n v="0"/>
    <m/>
    <m/>
    <m/>
    <n v="2470.2113153463865"/>
    <n v="0"/>
    <n v="0"/>
    <n v="-1045.5947100000003"/>
    <n v="265.57578000000012"/>
    <n v="0"/>
    <n v="0"/>
    <n v="-1083.8603161209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9319999999999999"/>
    <n v="2.9319999999999999"/>
    <n v="2.9319999999999999"/>
    <n v="2.9319999999999999"/>
    <m/>
    <n v="345.46"/>
    <n v="215.17"/>
    <m/>
    <n v="1643.7671599999999"/>
    <n v="1643.7671599999999"/>
    <n v="1409.7056"/>
    <n v="0"/>
    <n v="0"/>
    <n v="0"/>
    <n v="0"/>
    <n v="0"/>
    <n v="261.87327295175288"/>
    <n v="741.24036194817359"/>
    <n v="617.95400099822609"/>
    <n v="12.921249043352008"/>
    <n v="0"/>
    <n v="0"/>
    <n v="0"/>
    <n v="0"/>
    <n v="0"/>
    <m/>
    <n v="3.4521294079600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094720807307736"/>
    <n v="0"/>
    <n v="0"/>
    <n v="0"/>
    <n v="570.70000000000005"/>
    <n v="36"/>
    <m/>
    <m/>
    <m/>
    <m/>
    <m/>
    <m/>
    <m/>
    <m/>
    <m/>
    <n v="624.26347307895685"/>
    <m/>
    <m/>
    <m/>
    <m/>
    <m/>
    <m/>
    <m/>
    <m/>
    <m/>
    <m/>
    <m/>
    <m/>
    <n v="1408.7440000000001"/>
    <n v="-235.05315999999971"/>
    <m/>
    <m/>
    <m/>
    <m/>
    <n v="-313.75331999999997"/>
    <n v="79.691760000000016"/>
    <n v="30"/>
    <n v="91.178590825502511"/>
    <n v="0"/>
    <n v="0"/>
    <n v="0"/>
    <n v="0"/>
    <n v="0"/>
    <n v="0"/>
    <n v="0"/>
    <n v="10.899737024933074"/>
    <n v="0"/>
    <n v="0"/>
    <n v="79.690250252088276"/>
    <n v="0"/>
    <n v="0"/>
    <n v="0"/>
    <n v="0.81365831155683832"/>
    <n v="0"/>
    <n v="0"/>
    <m/>
    <n v="0"/>
    <n v="0"/>
    <n v="0"/>
    <n v="0"/>
    <n v="0"/>
    <n v="-0.22505476307563166"/>
    <n v="0"/>
    <n v="0"/>
    <m/>
    <m/>
    <m/>
    <n v="741.24036194817359"/>
    <n v="0"/>
    <n v="0"/>
    <n v="-313.75331999999992"/>
    <n v="79.691760000000045"/>
    <n v="0"/>
    <n v="0"/>
    <n v="-325.2357432060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3"/>
    <s v="Regular"/>
    <s v="Convencional"/>
    <s v="B3"/>
    <s v="Industrial"/>
    <s v="Não se aplica"/>
    <s v="Não se aplica"/>
    <s v="Não se aplica"/>
    <s v="Não se aplica"/>
    <s v="CATIVO"/>
    <x v="2"/>
    <n v="0"/>
    <n v="0"/>
    <n v="24.670999999999999"/>
    <n v="24.670999999999999"/>
    <n v="24.670999999999999"/>
    <n v="24.670999999999999"/>
    <m/>
    <n v="415.98"/>
    <n v="215.17"/>
    <m/>
    <n v="15571.101650000001"/>
    <n v="15571.101650000001"/>
    <n v="13533.030339999999"/>
    <n v="0"/>
    <n v="1507.0674615816924"/>
    <n v="0"/>
    <n v="0"/>
    <n v="0"/>
    <n v="2203.5046101612197"/>
    <n v="6237.0876431184824"/>
    <n v="5199.7077621511717"/>
    <n v="108.72446628531287"/>
    <n v="0"/>
    <n v="0"/>
    <n v="0"/>
    <n v="0"/>
    <n v="232.88058108317659"/>
    <m/>
    <n v="29.047573200471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090377115862523"/>
    <n v="0"/>
    <n v="0"/>
    <n v="0"/>
    <n v="5678.4"/>
    <n v="37"/>
    <m/>
    <m/>
    <m/>
    <m/>
    <m/>
    <m/>
    <m/>
    <m/>
    <m/>
    <n v="5252.7981392670345"/>
    <m/>
    <m/>
    <m/>
    <m/>
    <m/>
    <m/>
    <m/>
    <m/>
    <m/>
    <m/>
    <m/>
    <m/>
    <n v="13532.481800000001"/>
    <n v="-2038.6498499999998"/>
    <m/>
    <m/>
    <m/>
    <m/>
    <n v="-2708.6290900000004"/>
    <n v="670.55778000000021"/>
    <n v="30"/>
    <n v="698.532072338332"/>
    <n v="0"/>
    <n v="0"/>
    <n v="0"/>
    <n v="0"/>
    <n v="0"/>
    <n v="0"/>
    <n v="0"/>
    <n v="91.714669898404736"/>
    <n v="0"/>
    <n v="0"/>
    <n v="670.54507638788255"/>
    <n v="0"/>
    <n v="0"/>
    <n v="0"/>
    <n v="6.8464407245630099"/>
    <n v="0"/>
    <n v="-61.275851974364059"/>
    <m/>
    <n v="0"/>
    <n v="0"/>
    <n v="0"/>
    <n v="0"/>
    <n v="-7.4045634962980671"/>
    <n v="-1.8936992018550178"/>
    <n v="0"/>
    <n v="0"/>
    <m/>
    <m/>
    <m/>
    <n v="6237.0876431184824"/>
    <n v="0"/>
    <n v="0"/>
    <n v="-2708.6290900000004"/>
    <n v="670.55778000000009"/>
    <n v="0"/>
    <n v="0"/>
    <n v="-2736.6613303674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4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9.93"/>
    <n v="9.93"/>
    <n v="9.93"/>
    <n v="9.93"/>
    <m/>
    <n v="415.98"/>
    <n v="215.17"/>
    <m/>
    <n v="6267.3194999999996"/>
    <n v="6267.3194999999996"/>
    <n v="5447.0021999999999"/>
    <n v="0"/>
    <n v="606.58991907527889"/>
    <n v="0"/>
    <n v="0"/>
    <n v="0"/>
    <n v="886.90368363264201"/>
    <n v="2510.4081835420748"/>
    <n v="2092.8660402156838"/>
    <n v="43.76125613931972"/>
    <n v="0"/>
    <n v="0"/>
    <n v="0"/>
    <n v="0"/>
    <n v="93.733702328885883"/>
    <m/>
    <n v="11.691556964885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368710014207565"/>
    <n v="0"/>
    <n v="0"/>
    <n v="0"/>
    <n v="3305.05"/>
    <n v="4"/>
    <m/>
    <m/>
    <m/>
    <m/>
    <m/>
    <m/>
    <m/>
    <m/>
    <m/>
    <n v="2114.2347502298912"/>
    <m/>
    <m/>
    <m/>
    <m/>
    <m/>
    <m/>
    <m/>
    <m/>
    <m/>
    <m/>
    <m/>
    <m/>
    <n v="5447.0021999999999"/>
    <n v="-820.34730000000036"/>
    <m/>
    <m/>
    <m/>
    <m/>
    <n v="-1090.2147000000002"/>
    <n v="269.89740000000006"/>
    <n v="30"/>
    <n v="281.15696478941436"/>
    <n v="0"/>
    <n v="0"/>
    <n v="0"/>
    <n v="0"/>
    <n v="0"/>
    <n v="0"/>
    <n v="0"/>
    <n v="36.914866527143545"/>
    <n v="0"/>
    <n v="0"/>
    <n v="269.89228683602869"/>
    <n v="0"/>
    <n v="0"/>
    <n v="0"/>
    <n v="2.7556708846382669"/>
    <n v="0"/>
    <n v="-24.663337931394608"/>
    <m/>
    <n v="0"/>
    <n v="0"/>
    <n v="0"/>
    <n v="0"/>
    <n v="-2.9803135470082225"/>
    <n v="-0.76220797999352641"/>
    <n v="0"/>
    <n v="0"/>
    <m/>
    <m/>
    <m/>
    <n v="2510.4081835420748"/>
    <n v="0"/>
    <n v="0"/>
    <n v="-1090.2147000000004"/>
    <n v="269.89740000000029"/>
    <n v="0"/>
    <n v="0"/>
    <n v="-1101.4975886891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5"/>
    <s v="Regular"/>
    <s v="Verde"/>
    <s v="A4"/>
    <s v="Industrial"/>
    <s v="Não se aplica"/>
    <s v="Não se aplica"/>
    <s v="Não se aplica"/>
    <s v="Ponta"/>
    <s v="CATIVO"/>
    <x v="2"/>
    <n v="0"/>
    <n v="0"/>
    <n v="118.11499999999999"/>
    <n v="118.11499999999999"/>
    <n v="118.11499999999999"/>
    <n v="118.11499999999999"/>
    <m/>
    <n v="2184.0300000000002"/>
    <n v="215.17"/>
    <m/>
    <n v="283381.50799999997"/>
    <n v="283381.50799999997"/>
    <n v="213834.21484999999"/>
    <n v="0"/>
    <n v="6277.2618744885731"/>
    <n v="0"/>
    <n v="0"/>
    <n v="0"/>
    <n v="77837.107746678361"/>
    <n v="172557.51970623998"/>
    <n v="24894.146257812234"/>
    <n v="520.52978538728587"/>
    <n v="0"/>
    <n v="0"/>
    <n v="0"/>
    <n v="0"/>
    <n v="1114.9402065031577"/>
    <m/>
    <n v="81.484307596470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135975229615724"/>
    <n v="0"/>
    <n v="0"/>
    <n v="0"/>
    <n v="0"/>
    <n v="0"/>
    <m/>
    <m/>
    <m/>
    <m/>
    <m/>
    <m/>
    <m/>
    <m/>
    <m/>
    <n v="24992.282233041849"/>
    <m/>
    <m/>
    <m/>
    <m/>
    <m/>
    <m/>
    <m/>
    <m/>
    <m/>
    <m/>
    <m/>
    <m/>
    <n v="213843.26680000001"/>
    <n v="-69538.271199999988"/>
    <m/>
    <m/>
    <m/>
    <m/>
    <n v="-72757.658850000022"/>
    <n v="3210.3657000000007"/>
    <n v="30"/>
    <n v="6166.7210782650363"/>
    <n v="0"/>
    <n v="0"/>
    <n v="0"/>
    <n v="0"/>
    <n v="0"/>
    <n v="0"/>
    <n v="0"/>
    <n v="3239.7502641534375"/>
    <n v="0"/>
    <n v="0"/>
    <n v="3210.3048801246296"/>
    <n v="0"/>
    <n v="0"/>
    <n v="0"/>
    <n v="12.65544103954025"/>
    <n v="0"/>
    <n v="-255.22717411851954"/>
    <m/>
    <n v="0"/>
    <n v="0"/>
    <n v="0"/>
    <n v="0"/>
    <n v="-35.450124330803192"/>
    <n v="-5.3122086032525573"/>
    <n v="0"/>
    <n v="0"/>
    <m/>
    <m/>
    <m/>
    <n v="172557.51970623998"/>
    <n v="0"/>
    <n v="0"/>
    <n v="-72757.658850000007"/>
    <n v="3210.3657000000021"/>
    <n v="0"/>
    <n v="0"/>
    <n v="-75713.46090754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6"/>
    <s v="Regular"/>
    <s v="Verde"/>
    <s v="A4"/>
    <s v="Industrial"/>
    <s v="Não se aplica"/>
    <s v="Não se aplica"/>
    <s v="Não se aplica"/>
    <s v="Fora ponta"/>
    <s v="CATIVO"/>
    <x v="2"/>
    <n v="0"/>
    <n v="0"/>
    <n v="1523.521"/>
    <n v="1523.521"/>
    <n v="1523.521"/>
    <n v="1523.521"/>
    <m/>
    <n v="64.11"/>
    <n v="215.17"/>
    <m/>
    <n v="425488.94487999997"/>
    <n v="425488.94487999997"/>
    <n v="463241.79525999998"/>
    <n v="0"/>
    <n v="80968.042063097033"/>
    <n v="0"/>
    <n v="0"/>
    <n v="0"/>
    <n v="0"/>
    <n v="0"/>
    <n v="321100.23791092035"/>
    <n v="6714.1180981503048"/>
    <n v="0"/>
    <n v="0"/>
    <n v="0"/>
    <n v="0"/>
    <n v="14381.194753857657"/>
    <m/>
    <n v="1051.0354636894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5.8190671616592"/>
    <n v="0"/>
    <n v="0"/>
    <n v="0"/>
    <n v="0"/>
    <n v="0"/>
    <m/>
    <m/>
    <m/>
    <m/>
    <m/>
    <m/>
    <m/>
    <m/>
    <m/>
    <n v="322366.05697808199"/>
    <m/>
    <m/>
    <m/>
    <m/>
    <m/>
    <m/>
    <m/>
    <m/>
    <m/>
    <m/>
    <m/>
    <m/>
    <n v="463241.49119999999"/>
    <n v="37752.516320000053"/>
    <m/>
    <m/>
    <m/>
    <m/>
    <n v="-3656.4503999999979"/>
    <n v="41409.300780000012"/>
    <n v="30"/>
    <n v="37753.896640444524"/>
    <n v="0"/>
    <n v="0"/>
    <n v="0"/>
    <n v="0"/>
    <n v="0"/>
    <n v="0"/>
    <n v="0"/>
    <n v="0"/>
    <n v="0"/>
    <n v="0"/>
    <n v="41408.516287282284"/>
    <n v="0"/>
    <n v="0"/>
    <n v="0"/>
    <n v="163.2377783346858"/>
    <n v="0"/>
    <n v="-3292.0794102376676"/>
    <m/>
    <n v="0"/>
    <n v="0"/>
    <n v="0"/>
    <n v="0"/>
    <n v="-457.25783237175165"/>
    <n v="-68.520182563060871"/>
    <n v="0"/>
    <n v="0"/>
    <m/>
    <m/>
    <m/>
    <n v="0"/>
    <n v="0"/>
    <n v="0"/>
    <n v="-3656.4504000000015"/>
    <n v="41409.30078000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7"/>
    <s v="Regular"/>
    <s v="Verde"/>
    <s v="A4"/>
    <s v="Industrial"/>
    <s v="Não se aplica"/>
    <s v="Não se aplica"/>
    <s v="Não se aplica"/>
    <s v="Não se aplica"/>
    <s v="CATIVO"/>
    <x v="2"/>
    <n v="5399"/>
    <n v="5399"/>
    <n v="0"/>
    <n v="0"/>
    <n v="0"/>
    <n v="0"/>
    <n v="28.04"/>
    <m/>
    <m/>
    <n v="151387.96"/>
    <m/>
    <n v="151387.96"/>
    <n v="113702.93999999999"/>
    <n v="0"/>
    <n v="0"/>
    <n v="0"/>
    <n v="0"/>
    <n v="0"/>
    <n v="59770.587252928715"/>
    <n v="91644.2451616462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4636.40000000002"/>
    <n v="14"/>
    <m/>
    <m/>
    <m/>
    <m/>
    <m/>
    <m/>
    <m/>
    <m/>
    <m/>
    <n v="0"/>
    <m/>
    <m/>
    <m/>
    <m/>
    <m/>
    <m/>
    <m/>
    <m/>
    <m/>
    <m/>
    <m/>
    <m/>
    <n v="113702.93999999999"/>
    <n v="-37685.050000000032"/>
    <m/>
    <m/>
    <m/>
    <m/>
    <n v="-37685.020000000004"/>
    <n v="0"/>
    <n v="30"/>
    <n v="2487.782260248794"/>
    <n v="0"/>
    <n v="0"/>
    <n v="0"/>
    <n v="0"/>
    <m/>
    <m/>
    <m/>
    <n v="2487.7822602487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644.245161646279"/>
    <m/>
    <n v="0"/>
    <n v="0"/>
    <n v="-37685.020000000004"/>
    <m/>
    <n v="0"/>
    <m/>
    <n v="-40210.956817531383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88"/>
    <s v="Regular"/>
    <s v="Convencional"/>
    <s v="B3"/>
    <s v="Comercial"/>
    <s v="Não se aplica"/>
    <s v="Não se aplica"/>
    <s v="Não se aplica"/>
    <s v="Não se aplica"/>
    <s v="CATIVO"/>
    <x v="2"/>
    <n v="0"/>
    <n v="0"/>
    <n v="178.25899999999999"/>
    <n v="178.25899999999999"/>
    <n v="178.25899999999999"/>
    <n v="178.25899999999999"/>
    <m/>
    <n v="415.98"/>
    <n v="215.17"/>
    <m/>
    <n v="112508.16785"/>
    <n v="112508.16785"/>
    <n v="97782.191859999992"/>
    <n v="0"/>
    <n v="10889.235889671716"/>
    <n v="0"/>
    <n v="0"/>
    <n v="0"/>
    <n v="15921.305512655703"/>
    <n v="45065.745457203091"/>
    <n v="37570.212231904086"/>
    <n v="785.58285580453116"/>
    <n v="0"/>
    <n v="0"/>
    <n v="0"/>
    <n v="0"/>
    <n v="1682.666268222041"/>
    <m/>
    <n v="209.88169718061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3.60169974044572"/>
    <n v="0"/>
    <n v="0"/>
    <n v="0"/>
    <n v="40619.29"/>
    <n v="444"/>
    <m/>
    <m/>
    <m/>
    <m/>
    <m/>
    <m/>
    <m/>
    <m/>
    <m/>
    <n v="37953.81393164453"/>
    <m/>
    <m/>
    <m/>
    <m/>
    <m/>
    <m/>
    <m/>
    <m/>
    <m/>
    <m/>
    <m/>
    <m/>
    <n v="97782.740399999981"/>
    <n v="-14725.457450000002"/>
    <m/>
    <m/>
    <m/>
    <m/>
    <n v="-19571.055610000003"/>
    <n v="4845.0796200000004"/>
    <n v="30"/>
    <n v="5047.2063833229186"/>
    <n v="0"/>
    <n v="0"/>
    <n v="0"/>
    <n v="0"/>
    <n v="0"/>
    <n v="0"/>
    <n v="0"/>
    <n v="662.67947555509272"/>
    <n v="0"/>
    <n v="0"/>
    <n v="4844.9878307254403"/>
    <n v="0"/>
    <n v="0"/>
    <n v="0"/>
    <n v="49.468593778925765"/>
    <n v="0"/>
    <n v="-442.7454135259286"/>
    <m/>
    <n v="0"/>
    <n v="0"/>
    <n v="0"/>
    <n v="0"/>
    <n v="-53.50128021914793"/>
    <n v="-13.68282299150718"/>
    <n v="0"/>
    <n v="0"/>
    <m/>
    <m/>
    <m/>
    <n v="45065.745457203091"/>
    <n v="0"/>
    <n v="0"/>
    <n v="-19571.055610000003"/>
    <n v="4845.0796199999968"/>
    <n v="0"/>
    <n v="0"/>
    <n v="-19773.601073729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89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.276"/>
    <n v="1.276"/>
    <n v="1.276"/>
    <n v="1.276"/>
    <m/>
    <n v="415.98"/>
    <n v="215.17"/>
    <m/>
    <n v="805.34739999999999"/>
    <n v="805.34739999999999"/>
    <n v="699.93704000000002"/>
    <n v="0"/>
    <n v="77.946499168182868"/>
    <n v="0"/>
    <n v="0"/>
    <n v="0"/>
    <n v="113.96667676890748"/>
    <n v="322.58618753269764"/>
    <n v="268.93223235802748"/>
    <n v="5.62329937903041"/>
    <n v="0"/>
    <n v="0"/>
    <n v="0"/>
    <n v="0"/>
    <n v="12.044733552030049"/>
    <m/>
    <n v="1.5023591830003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458684771529565"/>
    <n v="0"/>
    <n v="0"/>
    <n v="0"/>
    <n v="1154.52"/>
    <n v="8"/>
    <m/>
    <m/>
    <m/>
    <m/>
    <m/>
    <m/>
    <m/>
    <m/>
    <m/>
    <n v="271.67810083518043"/>
    <m/>
    <m/>
    <m/>
    <m/>
    <m/>
    <m/>
    <m/>
    <m/>
    <m/>
    <m/>
    <m/>
    <m/>
    <n v="702.13120000000004"/>
    <n v="-103.24619999999993"/>
    <m/>
    <m/>
    <m/>
    <m/>
    <n v="-140.09204000000003"/>
    <n v="34.681680000000007"/>
    <n v="30"/>
    <n v="36.12852840597111"/>
    <n v="0"/>
    <n v="0"/>
    <n v="0"/>
    <n v="0"/>
    <n v="0"/>
    <n v="0"/>
    <n v="0"/>
    <n v="4.7435417611918638"/>
    <n v="0"/>
    <n v="0"/>
    <n v="34.681022961004317"/>
    <n v="0"/>
    <n v="0"/>
    <n v="0"/>
    <n v="0.35410232112773699"/>
    <n v="0"/>
    <n v="-3.1692265055850442"/>
    <m/>
    <n v="0"/>
    <n v="0"/>
    <n v="0"/>
    <n v="0"/>
    <n v="-0.38296879012915319"/>
    <n v="-9.7943341638644821E-2"/>
    <n v="0"/>
    <n v="0"/>
    <m/>
    <m/>
    <m/>
    <n v="322.58618753269764"/>
    <n v="0"/>
    <n v="0"/>
    <n v="-140.09204"/>
    <n v="34.681680000000028"/>
    <n v="0"/>
    <n v="0"/>
    <n v="-141.54188551533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0"/>
    <s v="Regular"/>
    <s v="Verde"/>
    <s v="A4"/>
    <s v="Comercial"/>
    <s v="Não se aplica"/>
    <s v="Não se aplica"/>
    <s v="Não se aplica"/>
    <s v="Ponta"/>
    <s v="CATIVO"/>
    <x v="2"/>
    <n v="0"/>
    <n v="0"/>
    <n v="2.4809999999999999"/>
    <n v="2.4809999999999999"/>
    <n v="2.4809999999999999"/>
    <n v="2.4809999999999999"/>
    <m/>
    <n v="2184.0300000000002"/>
    <n v="215.17"/>
    <m/>
    <n v="5952.4152000000004"/>
    <n v="5952.4152000000004"/>
    <n v="4491.5775899999999"/>
    <n v="0"/>
    <n v="131.85358938836006"/>
    <n v="0"/>
    <n v="0"/>
    <n v="0"/>
    <n v="1634.9647743259452"/>
    <n v="3624.5625567555467"/>
    <n v="522.90036714754399"/>
    <n v="10.933703573177466"/>
    <n v="0"/>
    <n v="0"/>
    <n v="0"/>
    <n v="0"/>
    <n v="23.419266412685385"/>
    <m/>
    <n v="1.7115740350238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613415277033114"/>
    <n v="0"/>
    <n v="0"/>
    <n v="0"/>
    <n v="0"/>
    <n v="0"/>
    <m/>
    <m/>
    <m/>
    <m/>
    <m/>
    <m/>
    <m/>
    <m/>
    <m/>
    <n v="524.96170867524734"/>
    <m/>
    <m/>
    <m/>
    <m/>
    <m/>
    <m/>
    <m/>
    <m/>
    <m/>
    <m/>
    <m/>
    <m/>
    <n v="4489.7672000000002"/>
    <n v="-1462.6780000000008"/>
    <m/>
    <m/>
    <m/>
    <m/>
    <n v="-1528.2711900000006"/>
    <n v="67.433580000000021"/>
    <n v="30"/>
    <n v="129.531685181184"/>
    <n v="0"/>
    <n v="0"/>
    <n v="0"/>
    <n v="0"/>
    <n v="0"/>
    <n v="0"/>
    <n v="0"/>
    <n v="68.050801383098587"/>
    <n v="0"/>
    <n v="0"/>
    <n v="67.432302481388433"/>
    <n v="0"/>
    <n v="0"/>
    <n v="0"/>
    <n v="0.26582694170172561"/>
    <n v="0"/>
    <n v="-5.3610347456973955"/>
    <m/>
    <n v="0"/>
    <n v="0"/>
    <n v="0"/>
    <n v="0"/>
    <n v="-0.74462818833105615"/>
    <n v="-0.11158269097633333"/>
    <n v="0"/>
    <n v="0"/>
    <m/>
    <m/>
    <m/>
    <n v="3624.5625567555467"/>
    <n v="0"/>
    <n v="0"/>
    <n v="-1528.2711900000008"/>
    <n v="67.43358000000012"/>
    <n v="0"/>
    <n v="0"/>
    <n v="-1590.357672705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1"/>
    <s v="Regular"/>
    <s v="Verde"/>
    <s v="A4"/>
    <s v="Comercial"/>
    <s v="Não se aplica"/>
    <s v="Não se aplica"/>
    <s v="Não se aplica"/>
    <s v="Fora ponta"/>
    <s v="CATIVO"/>
    <x v="2"/>
    <n v="0"/>
    <n v="0"/>
    <n v="28.847000000000001"/>
    <n v="28.847000000000001"/>
    <n v="28.847000000000001"/>
    <n v="28.847000000000001"/>
    <m/>
    <n v="64.11"/>
    <n v="215.17"/>
    <m/>
    <n v="8056.3901600000008"/>
    <n v="8056.3901600000008"/>
    <n v="8771.2188200000001"/>
    <n v="0"/>
    <n v="1533.0836328440239"/>
    <n v="0"/>
    <n v="0"/>
    <n v="0"/>
    <n v="0"/>
    <n v="0"/>
    <n v="6079.8496135047162"/>
    <n v="127.12799152577604"/>
    <n v="0"/>
    <n v="0"/>
    <n v="0"/>
    <n v="0"/>
    <n v="272.29970907163857"/>
    <m/>
    <n v="19.900756222625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967561084102147"/>
    <n v="0"/>
    <n v="0"/>
    <n v="0"/>
    <n v="0"/>
    <n v="0"/>
    <m/>
    <m/>
    <m/>
    <m/>
    <m/>
    <m/>
    <m/>
    <m/>
    <m/>
    <n v="6103.8171745888185"/>
    <m/>
    <m/>
    <m/>
    <m/>
    <m/>
    <m/>
    <m/>
    <m/>
    <m/>
    <m/>
    <m/>
    <m/>
    <n v="8772.1310000000012"/>
    <n v="715.71084000000064"/>
    <m/>
    <m/>
    <m/>
    <m/>
    <n v="-69.232799999999969"/>
    <n v="784.06146000000024"/>
    <n v="30"/>
    <n v="714.84847034396262"/>
    <n v="0"/>
    <n v="0"/>
    <n v="0"/>
    <n v="0"/>
    <n v="0"/>
    <n v="0"/>
    <n v="0"/>
    <n v="0"/>
    <n v="0"/>
    <n v="0"/>
    <n v="784.04660607844198"/>
    <n v="0"/>
    <n v="0"/>
    <n v="0"/>
    <n v="3.0908141020837085"/>
    <n v="0"/>
    <n v="-62.333643413596519"/>
    <m/>
    <n v="0"/>
    <n v="0"/>
    <n v="0"/>
    <n v="0"/>
    <n v="-8.657915900357068"/>
    <n v="-1.2973905226095468"/>
    <n v="0"/>
    <n v="0"/>
    <m/>
    <m/>
    <m/>
    <n v="0"/>
    <n v="0"/>
    <n v="0"/>
    <n v="-69.232799999999997"/>
    <n v="784.061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2"/>
    <s v="Regular"/>
    <s v="Verde"/>
    <s v="A4"/>
    <s v="Comercial"/>
    <s v="Não se aplica"/>
    <s v="Não se aplica"/>
    <s v="Não se aplica"/>
    <s v="Não se aplica"/>
    <s v="CATIVO"/>
    <x v="2"/>
    <n v="100"/>
    <n v="100"/>
    <n v="0"/>
    <n v="0"/>
    <n v="0"/>
    <n v="0"/>
    <n v="28.04"/>
    <m/>
    <m/>
    <n v="2804"/>
    <m/>
    <n v="2804"/>
    <n v="2106"/>
    <n v="0"/>
    <n v="0"/>
    <n v="0"/>
    <n v="0"/>
    <n v="0"/>
    <n v="1107.0677394504298"/>
    <n v="1697.42999002864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059.64"/>
    <n v="1"/>
    <m/>
    <m/>
    <m/>
    <m/>
    <m/>
    <m/>
    <m/>
    <m/>
    <m/>
    <n v="0"/>
    <m/>
    <m/>
    <m/>
    <m/>
    <m/>
    <m/>
    <m/>
    <m/>
    <m/>
    <m/>
    <m/>
    <m/>
    <n v="2106"/>
    <n v="-698.03000000000065"/>
    <m/>
    <m/>
    <m/>
    <m/>
    <n v="-698"/>
    <n v="0"/>
    <n v="30"/>
    <n v="46.078574925890052"/>
    <n v="0"/>
    <n v="0"/>
    <n v="0"/>
    <n v="0"/>
    <m/>
    <m/>
    <m/>
    <n v="46.0785749258900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7.4299900286401"/>
    <m/>
    <n v="0"/>
    <n v="0"/>
    <n v="-698"/>
    <m/>
    <n v="0"/>
    <m/>
    <n v="-744.78527167126106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93"/>
    <s v="Regular"/>
    <s v="Branca"/>
    <s v="B3"/>
    <s v="Comercial"/>
    <s v="Não se aplica"/>
    <s v="Não se aplica"/>
    <s v="Não se aplica"/>
    <s v="Ponta"/>
    <s v="CATIVO"/>
    <x v="2"/>
    <n v="0"/>
    <n v="0"/>
    <n v="5.1999999999999998E-2"/>
    <n v="5.1999999999999998E-2"/>
    <n v="5.1999999999999998E-2"/>
    <n v="5.1999999999999998E-2"/>
    <m/>
    <n v="1254.27"/>
    <n v="215.17"/>
    <m/>
    <n v="76.410879999999992"/>
    <n v="76.410879999999992"/>
    <n v="58.45684"/>
    <n v="0"/>
    <n v="3.1765031008977345"/>
    <n v="0"/>
    <n v="0"/>
    <n v="0"/>
    <n v="16.027221514839496"/>
    <n v="45.354188899018318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56.208500000000008"/>
    <n v="-20.232379999999999"/>
    <m/>
    <m/>
    <m/>
    <m/>
    <n v="-19.367399999999996"/>
    <n v="1.4133600000000004"/>
    <n v="30"/>
    <n v="1.9460999256018852"/>
    <n v="0"/>
    <n v="0"/>
    <n v="0"/>
    <n v="0"/>
    <n v="0"/>
    <n v="0"/>
    <n v="0"/>
    <n v="0.6670879306735813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45.354188899018318"/>
    <n v="0"/>
    <n v="0"/>
    <n v="-19.367399999999989"/>
    <n v="1.4133600000000008"/>
    <n v="0"/>
    <n v="0"/>
    <n v="-19.900162067959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4"/>
    <s v="Regular"/>
    <s v="Branca"/>
    <s v="B3"/>
    <s v="Comercial"/>
    <s v="Não se aplica"/>
    <s v="Não se aplica"/>
    <s v="Não se aplica"/>
    <s v="Fora ponta"/>
    <s v="CATIVO"/>
    <x v="2"/>
    <n v="0"/>
    <n v="0"/>
    <n v="0.63"/>
    <n v="0.63"/>
    <n v="0.63"/>
    <n v="0.63"/>
    <m/>
    <n v="309.91000000000003"/>
    <n v="215.17"/>
    <m/>
    <n v="330.80039999999997"/>
    <n v="330.80039999999997"/>
    <n v="299.69100000000003"/>
    <n v="0"/>
    <n v="38.484556799337938"/>
    <n v="0"/>
    <n v="0"/>
    <n v="0"/>
    <n v="38.81850235509399"/>
    <n v="109.89679267311381"/>
    <n v="132.78002067833643"/>
    <n v="2.7763938940353903"/>
    <n v="0"/>
    <n v="0"/>
    <n v="0"/>
    <n v="0"/>
    <n v="5.9468512051559017"/>
    <m/>
    <n v="0.74176041166945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557187622306917"/>
    <n v="0"/>
    <n v="0"/>
    <n v="0"/>
    <n v="0"/>
    <n v="0"/>
    <m/>
    <m/>
    <m/>
    <m/>
    <m/>
    <m/>
    <m/>
    <m/>
    <m/>
    <n v="134.13573944056711"/>
    <m/>
    <m/>
    <m/>
    <m/>
    <m/>
    <m/>
    <m/>
    <m/>
    <m/>
    <m/>
    <m/>
    <m/>
    <n v="299.69100000000003"/>
    <n v="-31.13939999999991"/>
    <m/>
    <m/>
    <m/>
    <m/>
    <n v="-48.232800000000019"/>
    <n v="17.123400000000004"/>
    <n v="30"/>
    <n v="17.111433015822882"/>
    <n v="0"/>
    <n v="0"/>
    <n v="0"/>
    <n v="0"/>
    <n v="0"/>
    <n v="0"/>
    <n v="0"/>
    <n v="1.6157107695760331"/>
    <n v="0"/>
    <n v="0"/>
    <n v="17.123075599868912"/>
    <n v="0"/>
    <n v="0"/>
    <n v="0"/>
    <n v="0.17483108331541874"/>
    <n v="0"/>
    <n v="-1.5647434941368132"/>
    <m/>
    <n v="0"/>
    <n v="0"/>
    <n v="0"/>
    <n v="0"/>
    <n v="-0.1890833368192526"/>
    <n v="-4.8357605981462437E-2"/>
    <n v="0"/>
    <n v="0"/>
    <m/>
    <m/>
    <m/>
    <n v="109.89679267311381"/>
    <n v="0"/>
    <n v="0"/>
    <n v="-48.232799999999997"/>
    <n v="17.123400000000004"/>
    <n v="0"/>
    <n v="0"/>
    <n v="-48.21966918674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5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2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96"/>
    <s v="Regular"/>
    <s v="Branca"/>
    <s v="B3"/>
    <s v="Comercial"/>
    <s v="Não se aplica"/>
    <s v="Não se aplica"/>
    <s v="Não se aplica"/>
    <s v="Intermediário"/>
    <s v="CATIVO"/>
    <x v="2"/>
    <n v="0"/>
    <n v="0"/>
    <n v="3.4000000000000002E-2"/>
    <n v="3.4000000000000002E-2"/>
    <n v="3.4000000000000002E-2"/>
    <n v="3.4000000000000002E-2"/>
    <m/>
    <n v="782.07"/>
    <n v="215.17"/>
    <m/>
    <n v="33.90616"/>
    <n v="33.90616"/>
    <n v="27.196939999999998"/>
    <n v="0"/>
    <n v="2.0769443352023651"/>
    <n v="0"/>
    <n v="0"/>
    <n v="0"/>
    <n v="6.2864014397953545"/>
    <n v="17.792794372064982"/>
    <n v="7.1659058778784752"/>
    <n v="0.14983713078921154"/>
    <n v="0"/>
    <n v="0"/>
    <n v="0"/>
    <n v="0"/>
    <n v="0.32094117615127093"/>
    <m/>
    <n v="4.00315142805739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165774469592881E-2"/>
    <n v="0"/>
    <n v="0"/>
    <n v="0"/>
    <n v="0"/>
    <n v="0"/>
    <m/>
    <m/>
    <m/>
    <m/>
    <m/>
    <m/>
    <m/>
    <m/>
    <m/>
    <n v="7.239071652348068"/>
    <m/>
    <m/>
    <m/>
    <m/>
    <m/>
    <m/>
    <m/>
    <m/>
    <m/>
    <m/>
    <m/>
    <m/>
    <n v="23.997299999999996"/>
    <n v="-9.9388600000000125"/>
    <m/>
    <m/>
    <m/>
    <m/>
    <n v="-7.633340000000004"/>
    <n v="0.92412000000000027"/>
    <n v="30"/>
    <n v="1.0979308183919514"/>
    <n v="0"/>
    <n v="0"/>
    <n v="0"/>
    <n v="0"/>
    <n v="0"/>
    <n v="0"/>
    <n v="0"/>
    <n v="0.26165374478498649"/>
    <n v="0"/>
    <n v="0"/>
    <n v="0.92410249269133704"/>
    <n v="0"/>
    <n v="0"/>
    <n v="0"/>
    <n v="9.4353283059114834E-3"/>
    <n v="0"/>
    <n v="-8.4446474286748785E-2"/>
    <m/>
    <n v="0"/>
    <n v="0"/>
    <n v="0"/>
    <n v="0"/>
    <n v="-1.0204497542626312E-2"/>
    <n v="-2.6097755609043247E-3"/>
    <n v="0"/>
    <n v="0"/>
    <m/>
    <m/>
    <m/>
    <n v="17.792794372064982"/>
    <n v="0"/>
    <n v="0"/>
    <n v="-7.633340000000004"/>
    <n v="0.92412000000000027"/>
    <n v="0"/>
    <n v="0"/>
    <n v="-7.80698542386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7"/>
    <s v="Regular"/>
    <s v="Convencional"/>
    <s v="B2"/>
    <s v="Rural"/>
    <s v="Não se aplica"/>
    <s v="Não se aplica"/>
    <s v="Não se aplica"/>
    <s v="Não se aplica"/>
    <s v="CATIVO"/>
    <x v="2"/>
    <n v="0"/>
    <n v="0"/>
    <n v="501.84"/>
    <n v="501.84"/>
    <n v="501.84"/>
    <n v="501.84"/>
    <m/>
    <n v="415.98"/>
    <n v="215.17"/>
    <m/>
    <n v="316736.31599999999"/>
    <n v="316736.31599999999"/>
    <n v="275279.31359999999"/>
    <n v="0"/>
    <n v="30655.698387586905"/>
    <n v="0"/>
    <n v="0"/>
    <n v="0"/>
    <n v="44822.129364975335"/>
    <n v="126870.41720329857"/>
    <n v="105768.77075748627"/>
    <n v="2211.5960504487621"/>
    <n v="0"/>
    <n v="0"/>
    <n v="0"/>
    <n v="0"/>
    <n v="4737.0917599927579"/>
    <m/>
    <n v="590.86515078127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9.9268311711908"/>
    <n v="0"/>
    <n v="0"/>
    <n v="0"/>
    <n v="75643.210000000006"/>
    <n v="1656"/>
    <m/>
    <m/>
    <m/>
    <m/>
    <m/>
    <n v="33031.108799999995"/>
    <m/>
    <m/>
    <m/>
    <n v="106848.69758865747"/>
    <m/>
    <m/>
    <m/>
    <m/>
    <m/>
    <m/>
    <m/>
    <m/>
    <m/>
    <m/>
    <m/>
    <m/>
    <n v="242248.20480000001"/>
    <n v="-36478.779600000009"/>
    <m/>
    <m/>
    <m/>
    <m/>
    <n v="-55097.013600000006"/>
    <n v="13640.011200000003"/>
    <n v="30"/>
    <n v="14209.044432016119"/>
    <n v="0"/>
    <n v="0"/>
    <n v="0"/>
    <n v="0"/>
    <n v="0"/>
    <n v="0"/>
    <n v="0"/>
    <n v="1865.5948255772091"/>
    <n v="0"/>
    <n v="0"/>
    <n v="13639.752792124142"/>
    <n v="0"/>
    <n v="0"/>
    <n v="0"/>
    <n v="139.26544579525353"/>
    <n v="0"/>
    <n v="-1246.429960472411"/>
    <m/>
    <n v="0"/>
    <n v="0"/>
    <n v="0"/>
    <n v="0"/>
    <n v="-150.61838372916463"/>
    <n v="-38.520287278947876"/>
    <n v="0"/>
    <n v="0"/>
    <m/>
    <m/>
    <m/>
    <n v="126870.41720329857"/>
    <n v="0"/>
    <n v="0"/>
    <n v="-55097.013600000006"/>
    <n v="13640.011199999994"/>
    <n v="0"/>
    <n v="0"/>
    <n v="-55667.225569763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98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99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6.399"/>
    <n v="6.399"/>
    <n v="6.399"/>
    <n v="6.399"/>
    <m/>
    <n v="415.98"/>
    <n v="215.17"/>
    <m/>
    <n v="4038.7288500000004"/>
    <n v="4038.7288500000004"/>
    <n v="3510.1074600000002"/>
    <n v="0"/>
    <n v="390.89314120470391"/>
    <n v="0"/>
    <n v="0"/>
    <n v="0"/>
    <n v="571.53037981523426"/>
    <n v="1617.7343370076271"/>
    <n v="1348.6656386042457"/>
    <n v="28.200229409416607"/>
    <n v="0"/>
    <n v="0"/>
    <n v="0"/>
    <n v="0"/>
    <n v="60.403017240940656"/>
    <m/>
    <n v="7.5341664670997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70229142086023"/>
    <n v="0"/>
    <n v="0"/>
    <n v="0"/>
    <n v="2902.48"/>
    <n v="21"/>
    <m/>
    <m/>
    <m/>
    <m/>
    <m/>
    <n v="421.18217999999996"/>
    <m/>
    <m/>
    <m/>
    <n v="1362.4358677463317"/>
    <m/>
    <m/>
    <m/>
    <m/>
    <m/>
    <m/>
    <m/>
    <m/>
    <m/>
    <m/>
    <m/>
    <m/>
    <n v="3089.4080000000004"/>
    <n v="-464.69059000000016"/>
    <m/>
    <m/>
    <m/>
    <m/>
    <n v="-702.54621000000009"/>
    <n v="173.92482000000004"/>
    <n v="30"/>
    <n v="181.18060601082198"/>
    <n v="0"/>
    <n v="0"/>
    <n v="0"/>
    <n v="0"/>
    <n v="0"/>
    <n v="0"/>
    <n v="0"/>
    <n v="23.788341481086832"/>
    <n v="0"/>
    <n v="0"/>
    <n v="173.92152502152567"/>
    <n v="0"/>
    <n v="0"/>
    <n v="0"/>
    <n v="1.7757842891037541"/>
    <n v="0"/>
    <n v="-15.893323204732496"/>
    <m/>
    <n v="0"/>
    <n v="0"/>
    <n v="0"/>
    <n v="0"/>
    <n v="-1.920546463978404"/>
    <n v="-0.49117511218314025"/>
    <n v="0"/>
    <n v="0"/>
    <m/>
    <m/>
    <m/>
    <n v="1617.7343370076271"/>
    <n v="0"/>
    <n v="0"/>
    <n v="-702.5462100000002"/>
    <n v="173.92481999999995"/>
    <n v="0"/>
    <n v="0"/>
    <n v="-709.8170261854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0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7.48"/>
    <n v="27.48"/>
    <n v="27.48"/>
    <n v="27.48"/>
    <m/>
    <n v="415.98"/>
    <n v="215.17"/>
    <m/>
    <n v="17344.002"/>
    <n v="17344.002"/>
    <n v="15073.879200000001"/>
    <n v="0"/>
    <n v="1678.6597156282644"/>
    <n v="0"/>
    <n v="0"/>
    <n v="0"/>
    <n v="2454.3920670921452"/>
    <n v="6947.2323145756518"/>
    <n v="5791.7380448264848"/>
    <n v="121.10365747316274"/>
    <n v="0"/>
    <n v="0"/>
    <n v="0"/>
    <n v="0"/>
    <n v="259.39598590108602"/>
    <m/>
    <n v="32.354882718534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135161247776828"/>
    <n v="0"/>
    <n v="0"/>
    <n v="0"/>
    <n v="5338.12"/>
    <n v="48"/>
    <m/>
    <m/>
    <m/>
    <m/>
    <m/>
    <m/>
    <m/>
    <m/>
    <m/>
    <n v="5850.8732060742614"/>
    <m/>
    <m/>
    <m/>
    <m/>
    <m/>
    <m/>
    <m/>
    <m/>
    <m/>
    <m/>
    <m/>
    <m/>
    <n v="15073.879200000001"/>
    <n v="-2270.152799999998"/>
    <m/>
    <m/>
    <m/>
    <m/>
    <n v="-3017.0292000000004"/>
    <n v="746.90640000000019"/>
    <n v="30"/>
    <n v="778.06579984019118"/>
    <n v="0"/>
    <n v="0"/>
    <n v="0"/>
    <n v="0"/>
    <n v="0"/>
    <n v="0"/>
    <n v="0"/>
    <n v="102.15715328961824"/>
    <n v="0"/>
    <n v="0"/>
    <n v="746.89224997523434"/>
    <n v="0"/>
    <n v="0"/>
    <n v="0"/>
    <n v="7.6259653484249341"/>
    <n v="0"/>
    <n v="-68.252620982348844"/>
    <m/>
    <n v="0"/>
    <n v="0"/>
    <n v="0"/>
    <n v="0"/>
    <n v="-8.2476350726874159"/>
    <n v="-2.1093127180485567"/>
    <n v="0"/>
    <n v="0"/>
    <m/>
    <m/>
    <m/>
    <n v="6947.2323145756518"/>
    <n v="0"/>
    <n v="0"/>
    <n v="-3017.029199999999"/>
    <n v="746.90640000000076"/>
    <n v="0"/>
    <n v="0"/>
    <n v="-3048.2531457378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1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90.504000000000005"/>
    <n v="90.504000000000005"/>
    <n v="90.504000000000005"/>
    <n v="90.504000000000005"/>
    <m/>
    <n v="228.79"/>
    <n v="118.34"/>
    <m/>
    <n v="31416.65352"/>
    <n v="31416.65352"/>
    <n v="27304.151760000001"/>
    <n v="0"/>
    <n v="3040.7198106539699"/>
    <n v="0"/>
    <n v="0"/>
    <n v="0"/>
    <n v="4445.8793596091436"/>
    <n v="12584.198412266949"/>
    <n v="10491.139119539139"/>
    <n v="219.36684784472811"/>
    <n v="0"/>
    <n v="0"/>
    <n v="0"/>
    <n v="0"/>
    <n v="469.86920922108982"/>
    <m/>
    <n v="58.607549783735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1172761449353"/>
    <n v="0"/>
    <n v="0"/>
    <n v="0"/>
    <n v="13384.42"/>
    <n v="88"/>
    <m/>
    <m/>
    <m/>
    <m/>
    <m/>
    <m/>
    <m/>
    <m/>
    <m/>
    <n v="10598.256395684075"/>
    <m/>
    <m/>
    <m/>
    <m/>
    <m/>
    <m/>
    <m/>
    <m/>
    <m/>
    <m/>
    <m/>
    <m/>
    <n v="27302.945"/>
    <n v="-4113.7385199999953"/>
    <m/>
    <m/>
    <m/>
    <m/>
    <n v="-5465.5365599999986"/>
    <n v="1353.034799999999"/>
    <n v="30"/>
    <n v="1409.3863512302305"/>
    <n v="0"/>
    <n v="0"/>
    <n v="0"/>
    <n v="0"/>
    <n v="0"/>
    <n v="0"/>
    <n v="0"/>
    <n v="185.04719980814571"/>
    <n v="0"/>
    <n v="0"/>
    <n v="1352.9186646822709"/>
    <n v="0"/>
    <n v="0"/>
    <n v="0"/>
    <n v="13.813653651442493"/>
    <n v="0"/>
    <n v="-123.63261881959352"/>
    <m/>
    <n v="0"/>
    <n v="0"/>
    <n v="0"/>
    <n v="0"/>
    <n v="-14.939744561142334"/>
    <n v="-3.8208035308897834"/>
    <n v="0"/>
    <n v="0"/>
    <m/>
    <m/>
    <m/>
    <n v="12584.198412266949"/>
    <n v="0"/>
    <n v="0"/>
    <n v="-5465.5365599999986"/>
    <n v="1353.0347999999994"/>
    <n v="0"/>
    <n v="0"/>
    <n v="-5521.597761500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2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0.324000000000002"/>
    <n v="19.104559999999999"/>
    <n v="20.324000000000002"/>
    <n v="19.104559999999999"/>
    <m/>
    <n v="415.98"/>
    <n v="215.17"/>
    <m/>
    <n v="12827.492600000001"/>
    <n v="12827.492600000001"/>
    <n v="11148.526960000001"/>
    <n v="0"/>
    <n v="1241.5240196662608"/>
    <n v="0"/>
    <n v="0"/>
    <n v="0"/>
    <n v="1815.2497951812506"/>
    <n v="5138.1204352778586"/>
    <n v="4283.5256194706508"/>
    <n v="89.56734841646869"/>
    <n v="0"/>
    <n v="0"/>
    <n v="0"/>
    <n v="0"/>
    <n v="191.84730776760088"/>
    <m/>
    <n v="23.929426359952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35917656470754"/>
    <n v="0"/>
    <n v="0"/>
    <n v="0"/>
    <n v="4678.1400000000003"/>
    <n v="4"/>
    <m/>
    <m/>
    <m/>
    <m/>
    <n v="668.91161760000125"/>
    <m/>
    <m/>
    <m/>
    <m/>
    <n v="4327.2615371271213"/>
    <m/>
    <m/>
    <m/>
    <m/>
    <m/>
    <m/>
    <m/>
    <m/>
    <m/>
    <m/>
    <m/>
    <m/>
    <n v="10477.114000000001"/>
    <n v="-1580.7590440000004"/>
    <m/>
    <m/>
    <m/>
    <m/>
    <n v="-2231.3719600000004"/>
    <n v="552.40632000000016"/>
    <n v="30"/>
    <n v="575.45157627190838"/>
    <n v="0"/>
    <n v="0"/>
    <n v="0"/>
    <n v="0"/>
    <n v="0"/>
    <n v="0"/>
    <n v="0"/>
    <n v="75.554657331084172"/>
    <n v="0"/>
    <n v="0"/>
    <n v="552.39585474878641"/>
    <n v="0"/>
    <n v="0"/>
    <n v="0"/>
    <n v="5.6401062496866246"/>
    <n v="0"/>
    <n v="-50.479121864819945"/>
    <m/>
    <n v="0"/>
    <n v="0"/>
    <n v="0"/>
    <n v="0"/>
    <n v="-6.0998884722451976"/>
    <n v="-1.5600317205829235"/>
    <n v="0"/>
    <n v="0"/>
    <m/>
    <m/>
    <m/>
    <n v="5138.1204352778586"/>
    <n v="0"/>
    <n v="0"/>
    <n v="-2231.3719600000013"/>
    <n v="552.40632000000005"/>
    <n v="0"/>
    <n v="0"/>
    <n v="-2254.4649539292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3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1.3919999999999999"/>
    <n v="1.3919999999999999"/>
    <n v="1.3919999999999999"/>
    <n v="1.3919999999999999"/>
    <m/>
    <n v="415.98"/>
    <n v="215.17"/>
    <m/>
    <n v="878.56079999999997"/>
    <n v="878.56079999999997"/>
    <n v="763.56767999999988"/>
    <n v="0"/>
    <n v="85.032544547108586"/>
    <n v="0"/>
    <n v="0"/>
    <n v="0"/>
    <n v="124.32728374789906"/>
    <n v="351.91220458112468"/>
    <n v="293.38061711784809"/>
    <n v="6.134508413487719"/>
    <n v="0"/>
    <n v="0"/>
    <n v="0"/>
    <n v="0"/>
    <n v="13.139709329487324"/>
    <m/>
    <n v="1.63893729054585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954928841668611"/>
    <n v="0"/>
    <n v="0"/>
    <n v="0"/>
    <n v="320.39999999999998"/>
    <n v="1"/>
    <m/>
    <m/>
    <m/>
    <m/>
    <m/>
    <m/>
    <m/>
    <m/>
    <m/>
    <n v="296.37611000201497"/>
    <m/>
    <m/>
    <m/>
    <m/>
    <m/>
    <m/>
    <m/>
    <m/>
    <m/>
    <m/>
    <m/>
    <m/>
    <n v="762.47059999999988"/>
    <n v="-116.12020000000007"/>
    <m/>
    <m/>
    <m/>
    <m/>
    <n v="-152.82768000000002"/>
    <n v="37.83456000000001"/>
    <n v="30"/>
    <n v="39.412940079241366"/>
    <n v="0"/>
    <n v="0"/>
    <n v="0"/>
    <n v="0"/>
    <n v="0"/>
    <n v="0"/>
    <n v="0"/>
    <n v="5.1747728303911344"/>
    <n v="0"/>
    <n v="0"/>
    <n v="37.833843230186574"/>
    <n v="0"/>
    <n v="0"/>
    <n v="0"/>
    <n v="0.38629344123025833"/>
    <n v="0"/>
    <n v="-3.4573380060927832"/>
    <m/>
    <n v="0"/>
    <n v="0"/>
    <n v="0"/>
    <n v="0"/>
    <n v="-0.41778413468634668"/>
    <n v="-0.10684728178761227"/>
    <n v="0"/>
    <n v="0"/>
    <m/>
    <m/>
    <m/>
    <n v="351.91220458112468"/>
    <n v="0"/>
    <n v="0"/>
    <n v="-152.82768000000004"/>
    <n v="37.83456000000001"/>
    <n v="0"/>
    <n v="0"/>
    <n v="-154.40932965309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4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81.5"/>
    <n v="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05"/>
    <s v="Regular"/>
    <s v="Convencional"/>
    <s v="B2"/>
    <s v="Rural"/>
    <s v="Agropecuária rural"/>
    <s v="IRRIG./AQUIC."/>
    <s v="Não se aplica"/>
    <s v="Não se aplica"/>
    <s v="CATIVO"/>
    <x v="2"/>
    <n v="0"/>
    <n v="0"/>
    <n v="11.58"/>
    <n v="11.58"/>
    <n v="11.58"/>
    <n v="11.58"/>
    <m/>
    <n v="415.98"/>
    <n v="215.17"/>
    <m/>
    <n v="7308.7170000000006"/>
    <n v="7308.7170000000006"/>
    <n v="6352.0931999999993"/>
    <n v="0"/>
    <n v="707.38280593068782"/>
    <n v="0"/>
    <n v="0"/>
    <n v="0"/>
    <n v="1034.2743863510568"/>
    <n v="2927.5454950067701"/>
    <n v="2440.6232372303743"/>
    <n v="51.032763957031463"/>
    <n v="0"/>
    <n v="0"/>
    <n v="0"/>
    <n v="0"/>
    <n v="109.30878881857991"/>
    <m/>
    <n v="13.634262804971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919402010526046"/>
    <n v="0"/>
    <n v="0"/>
    <n v="0"/>
    <n v="0"/>
    <n v="0"/>
    <m/>
    <m/>
    <m/>
    <m/>
    <m/>
    <n v="762.19560000000001"/>
    <m/>
    <m/>
    <m/>
    <n v="2465.5426392409004"/>
    <m/>
    <m/>
    <m/>
    <m/>
    <m/>
    <m/>
    <m/>
    <m/>
    <m/>
    <m/>
    <m/>
    <m/>
    <n v="5589.8976000000002"/>
    <n v="-841.78020000000015"/>
    <m/>
    <m/>
    <m/>
    <m/>
    <n v="-1271.3682000000003"/>
    <n v="314.7444000000001"/>
    <n v="30"/>
    <n v="327.87488945230962"/>
    <n v="0"/>
    <n v="0"/>
    <n v="0"/>
    <n v="0"/>
    <n v="0"/>
    <n v="0"/>
    <n v="0"/>
    <n v="43.048756735581492"/>
    <n v="0"/>
    <n v="0"/>
    <n v="314.73843721663798"/>
    <n v="0"/>
    <n v="0"/>
    <n v="0"/>
    <n v="3.2135618171310298"/>
    <n v="0"/>
    <n v="-28.761475654133847"/>
    <m/>
    <n v="0"/>
    <n v="0"/>
    <n v="0"/>
    <n v="0"/>
    <n v="-3.4755318101062613"/>
    <n v="-0.88885885280211951"/>
    <n v="0"/>
    <n v="0"/>
    <m/>
    <m/>
    <m/>
    <n v="2927.5454950067701"/>
    <n v="0"/>
    <n v="0"/>
    <n v="-1271.3682000000008"/>
    <n v="314.74440000000004"/>
    <n v="0"/>
    <n v="0"/>
    <n v="-1284.525888924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6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4.744"/>
    <n v="5.8975999999999997"/>
    <n v="14.744"/>
    <n v="5.8975999999999997"/>
    <m/>
    <n v="415.98"/>
    <n v="215.17"/>
    <m/>
    <n v="9305.6756000000005"/>
    <n v="9305.6756000000005"/>
    <n v="8087.6737599999997"/>
    <n v="0"/>
    <n v="900.6608023006961"/>
    <n v="0"/>
    <n v="0"/>
    <n v="0"/>
    <n v="1316.868873260793"/>
    <n v="3727.4378910517976"/>
    <n v="3107.474007748242"/>
    <n v="64.976431069298087"/>
    <n v="0"/>
    <n v="0"/>
    <n v="0"/>
    <n v="0"/>
    <n v="139.17519709336287"/>
    <m/>
    <n v="17.359548428023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28122905284629"/>
    <n v="0"/>
    <n v="0"/>
    <n v="0"/>
    <n v="0"/>
    <n v="0"/>
    <m/>
    <m/>
    <m/>
    <m/>
    <m/>
    <m/>
    <n v="5240.7842879999989"/>
    <m/>
    <m/>
    <n v="3139.2021306535266"/>
    <m/>
    <m/>
    <m/>
    <m/>
    <m/>
    <m/>
    <m/>
    <m/>
    <m/>
    <m/>
    <m/>
    <m/>
    <n v="2848.0480000000002"/>
    <n v="-427.56801600000017"/>
    <m/>
    <m/>
    <m/>
    <m/>
    <n v="-1618.7437600000003"/>
    <n v="400.74192000000011"/>
    <n v="30"/>
    <n v="417.46004923012424"/>
    <n v="0"/>
    <n v="0"/>
    <n v="0"/>
    <n v="0"/>
    <n v="0"/>
    <n v="0"/>
    <n v="0"/>
    <n v="54.81095589891288"/>
    <n v="0"/>
    <n v="0"/>
    <n v="400.73432800709043"/>
    <n v="0"/>
    <n v="0"/>
    <n v="0"/>
    <n v="4.0916023688929073"/>
    <n v="0"/>
    <n v="-36.619965202465437"/>
    <m/>
    <n v="0"/>
    <n v="0"/>
    <n v="0"/>
    <n v="0"/>
    <n v="-4.4251503461318293"/>
    <n v="-1.1317214961756861"/>
    <n v="0"/>
    <n v="0"/>
    <m/>
    <m/>
    <m/>
    <n v="3727.4378910517976"/>
    <n v="0"/>
    <n v="0"/>
    <n v="-1618.7437600000003"/>
    <n v="400.74192000000039"/>
    <n v="0"/>
    <n v="0"/>
    <n v="-1635.4965204060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7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5.1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08"/>
    <s v="Regular"/>
    <s v="Convencional"/>
    <s v="B2"/>
    <s v="Rural"/>
    <s v="Aquicultura"/>
    <s v="IRRIG./AQUIC."/>
    <s v="Não se aplica"/>
    <s v="Não se aplica"/>
    <s v="CATIVO"/>
    <x v="2"/>
    <n v="0"/>
    <n v="0"/>
    <n v="0.47499999999999998"/>
    <n v="0.47499999999999998"/>
    <n v="0.47499999999999998"/>
    <n v="0.47499999999999998"/>
    <m/>
    <n v="415.98"/>
    <n v="215.17"/>
    <m/>
    <n v="299.79624999999999"/>
    <n v="299.79624999999999"/>
    <n v="260.55649999999997"/>
    <n v="0"/>
    <n v="29.01613409473892"/>
    <n v="0"/>
    <n v="0"/>
    <n v="0"/>
    <n v="42.424899267422454"/>
    <n v="120.08498360347286"/>
    <n v="100.11192035271398"/>
    <n v="2.0933128566139847"/>
    <n v="0"/>
    <n v="0"/>
    <n v="0"/>
    <n v="0"/>
    <n v="4.4837370197604018"/>
    <m/>
    <n v="0.55926380244919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22168908031077"/>
    <n v="0"/>
    <n v="0"/>
    <n v="0"/>
    <n v="0"/>
    <n v="0"/>
    <m/>
    <m/>
    <m/>
    <m/>
    <m/>
    <n v="31.264499999999995"/>
    <m/>
    <m/>
    <m/>
    <n v="101.13408926074506"/>
    <m/>
    <m/>
    <m/>
    <m/>
    <m/>
    <m/>
    <m/>
    <m/>
    <m/>
    <m/>
    <m/>
    <m/>
    <n v="231.7056"/>
    <n v="-32.144149999999968"/>
    <m/>
    <m/>
    <m/>
    <m/>
    <n v="-52.150250000000007"/>
    <n v="12.910500000000003"/>
    <n v="30"/>
    <n v="13.449099524166314"/>
    <n v="0"/>
    <n v="0"/>
    <n v="0"/>
    <n v="0"/>
    <n v="0"/>
    <n v="0"/>
    <n v="0"/>
    <n v="1.7658168781866266"/>
    <n v="0"/>
    <n v="0"/>
    <n v="12.910255412599568"/>
    <n v="0"/>
    <n v="0"/>
    <n v="0"/>
    <n v="0.13181708662670455"/>
    <n v="0"/>
    <n v="-1.1797669201825194"/>
    <m/>
    <n v="0"/>
    <n v="0"/>
    <n v="0"/>
    <n v="0"/>
    <n v="-0.14256283331610309"/>
    <n v="-3.6460099747928076E-2"/>
    <n v="0"/>
    <n v="0"/>
    <m/>
    <m/>
    <m/>
    <n v="120.08498360347286"/>
    <n v="0"/>
    <n v="0"/>
    <n v="-52.15025"/>
    <n v="12.910499999999999"/>
    <n v="0"/>
    <n v="0"/>
    <n v="-52.689965219267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09"/>
    <s v="Regular"/>
    <s v="Convencional"/>
    <s v="B2"/>
    <s v="Rural"/>
    <s v="Aquicultura"/>
    <s v="IRRIG./AQUIC. PR"/>
    <s v="Não se aplica"/>
    <s v="Não se aplica"/>
    <s v="CATIVO"/>
    <x v="2"/>
    <n v="0"/>
    <n v="0"/>
    <n v="1.6319999999999999"/>
    <n v="0.65280000000000005"/>
    <n v="1.6319999999999999"/>
    <n v="0.65280000000000005"/>
    <m/>
    <n v="415.98"/>
    <n v="215.17"/>
    <m/>
    <n v="1030.0367999999999"/>
    <n v="1030.0367999999999"/>
    <n v="895.21727999999996"/>
    <n v="0"/>
    <n v="99.693328089713503"/>
    <n v="0"/>
    <n v="0"/>
    <n v="0"/>
    <n v="145.76302232512302"/>
    <n v="412.58672261235307"/>
    <n v="343.96348213816674"/>
    <n v="7.1921822778821536"/>
    <n v="0"/>
    <n v="0"/>
    <n v="0"/>
    <n v="0"/>
    <n v="15.405176455261001"/>
    <m/>
    <n v="1.9215126854675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119571745404579"/>
    <n v="0"/>
    <n v="0"/>
    <n v="0"/>
    <n v="0"/>
    <n v="0"/>
    <m/>
    <m/>
    <m/>
    <m/>
    <m/>
    <m/>
    <n v="580.0976639999999"/>
    <m/>
    <m/>
    <n v="347.47543931270718"/>
    <m/>
    <m/>
    <m/>
    <m/>
    <m/>
    <m/>
    <m/>
    <m/>
    <m/>
    <m/>
    <m/>
    <m/>
    <n v="313.76800000000003"/>
    <n v="-48.833647999999982"/>
    <m/>
    <m/>
    <m/>
    <m/>
    <n v="-179.17728000000002"/>
    <n v="44.357760000000006"/>
    <n v="30"/>
    <n v="46.208274575662244"/>
    <n v="0"/>
    <n v="0"/>
    <n v="0"/>
    <n v="0"/>
    <n v="0"/>
    <n v="0"/>
    <n v="0"/>
    <n v="6.0669750425275311"/>
    <n v="0"/>
    <n v="0"/>
    <n v="44.356919649184192"/>
    <n v="0"/>
    <n v="0"/>
    <n v="0"/>
    <n v="0.4528957586837512"/>
    <n v="0"/>
    <n v="-4.0534307657639346"/>
    <m/>
    <n v="0"/>
    <n v="0"/>
    <n v="0"/>
    <n v="0"/>
    <n v="-0.48981588204606297"/>
    <n v="-0.12526922692340769"/>
    <n v="0"/>
    <n v="0"/>
    <m/>
    <m/>
    <m/>
    <n v="412.58672261235307"/>
    <n v="0"/>
    <n v="0"/>
    <n v="-179.17728000000005"/>
    <n v="44.357760000000042"/>
    <n v="0"/>
    <n v="0"/>
    <n v="-181.03162786914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0"/>
    <s v="Regular"/>
    <s v="Convencional"/>
    <s v="B1"/>
    <s v="Residencial"/>
    <s v="Residencial"/>
    <s v="Não se aplica"/>
    <s v="Não se aplica"/>
    <s v="Não se aplica"/>
    <s v="CATIVO"/>
    <x v="3"/>
    <n v="0"/>
    <n v="0"/>
    <n v="469.399"/>
    <n v="469.399"/>
    <n v="469.399"/>
    <n v="469.399"/>
    <m/>
    <n v="415.98"/>
    <n v="215.17"/>
    <m/>
    <n v="296261.17885000003"/>
    <n v="296261.17885000003"/>
    <n v="257484.12745999999"/>
    <n v="0"/>
    <n v="28673.988058813378"/>
    <n v="0"/>
    <n v="0"/>
    <n v="0"/>
    <n v="41924.64271837649"/>
    <n v="118668.99203891908"/>
    <n v="98931.4427403023"/>
    <n v="2068.6293928036798"/>
    <n v="0"/>
    <n v="0"/>
    <n v="0"/>
    <n v="0"/>
    <n v="4430.8666807126592"/>
    <m/>
    <n v="552.66919917020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0.1159226544831"/>
    <n v="0"/>
    <n v="0"/>
    <n v="0"/>
    <n v="62756.75"/>
    <n v="2841"/>
    <m/>
    <m/>
    <m/>
    <m/>
    <m/>
    <m/>
    <m/>
    <m/>
    <m/>
    <n v="99941.558662956784"/>
    <m/>
    <m/>
    <m/>
    <m/>
    <m/>
    <m/>
    <m/>
    <m/>
    <m/>
    <m/>
    <m/>
    <m/>
    <n v="257484.67599999998"/>
    <n v="-38776.532850000076"/>
    <m/>
    <m/>
    <m/>
    <m/>
    <n v="-51535.316210000012"/>
    <n v="12758.264820000004"/>
    <m/>
    <n v="13290.51340535612"/>
    <n v="0"/>
    <n v="0"/>
    <n v="0"/>
    <n v="0"/>
    <n v="0"/>
    <n v="0"/>
    <n v="0"/>
    <n v="1744.9951090608956"/>
    <n v="0"/>
    <n v="0"/>
    <n v="12758.023116671204"/>
    <n v="0"/>
    <n v="0"/>
    <n v="0"/>
    <n v="130.26275504313378"/>
    <n v="0"/>
    <n v="-1165.8556054036926"/>
    <m/>
    <n v="0"/>
    <n v="0"/>
    <n v="0"/>
    <n v="0"/>
    <n v="-140.88179241209582"/>
    <n v="-36.030177603321363"/>
    <n v="0"/>
    <n v="0"/>
    <m/>
    <m/>
    <m/>
    <n v="118668.99203891908"/>
    <n v="0"/>
    <n v="0"/>
    <n v="-51535.31620999999"/>
    <n v="12758.264819999997"/>
    <n v="0"/>
    <n v="0"/>
    <n v="-52068.667334650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1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377"/>
    <n v="-0.377"/>
    <n v="-0.377"/>
    <n v="-0.377"/>
    <m/>
    <n v="415.98"/>
    <n v="215.17"/>
    <m/>
    <n v="-237.94355000000002"/>
    <n v="-237.94355000000002"/>
    <n v="-206.79957999999999"/>
    <n v="0"/>
    <n v="-23.029647481508576"/>
    <n v="0"/>
    <n v="0"/>
    <n v="0"/>
    <n v="-33.671972681722664"/>
    <n v="-95.309555407387947"/>
    <n v="-79.457250469417204"/>
    <n v="-1.6614293619862575"/>
    <n v="0"/>
    <n v="0"/>
    <n v="0"/>
    <n v="0"/>
    <n v="-3.5586712767361508"/>
    <m/>
    <n v="-0.44387884952283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1127932279519166"/>
    <n v="0"/>
    <n v="0"/>
    <n v="0"/>
    <n v="-77.52"/>
    <n v="0"/>
    <m/>
    <m/>
    <m/>
    <m/>
    <m/>
    <m/>
    <m/>
    <m/>
    <m/>
    <n v="-80.268529792212391"/>
    <m/>
    <m/>
    <m/>
    <m/>
    <m/>
    <m/>
    <m/>
    <m/>
    <m/>
    <m/>
    <m/>
    <m/>
    <n v="-208.4452"/>
    <n v="29.468350000000044"/>
    <m/>
    <m/>
    <m/>
    <m/>
    <n v="41.390830000000008"/>
    <n v="-10.246860000000003"/>
    <m/>
    <n v="-10.67433793812782"/>
    <n v="0"/>
    <n v="0"/>
    <n v="0"/>
    <n v="0"/>
    <n v="0"/>
    <n v="0"/>
    <n v="0"/>
    <n v="-1.4015009748975942"/>
    <n v="0"/>
    <n v="0"/>
    <n v="-10.246665874842179"/>
    <n v="0"/>
    <n v="0"/>
    <n v="0"/>
    <n v="-0.10462114033319503"/>
    <n v="0"/>
    <n v="0.936362376650127"/>
    <m/>
    <n v="0"/>
    <n v="0"/>
    <n v="0"/>
    <n v="0"/>
    <n v="0.11314986981088593"/>
    <n v="2.8937805484144985E-2"/>
    <n v="0"/>
    <n v="0"/>
    <m/>
    <m/>
    <m/>
    <n v="-95.309555407387947"/>
    <n v="0"/>
    <n v="0"/>
    <n v="41.390830000000022"/>
    <n v="-10.246859999999998"/>
    <n v="0"/>
    <n v="0"/>
    <n v="41.81919344771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2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8580000000000001"/>
    <n v="1.8580000000000001"/>
    <n v="1.8580000000000001"/>
    <n v="1.8580000000000001"/>
    <m/>
    <n v="415.98"/>
    <n v="215.17"/>
    <m/>
    <n v="1172.6767"/>
    <n v="1172.6767"/>
    <n v="1019.18732"/>
    <n v="0"/>
    <n v="113.49889925899983"/>
    <n v="0"/>
    <n v="0"/>
    <n v="0"/>
    <n v="165.94834281867563"/>
    <n v="469.72189375842652"/>
    <n v="391.59568003230021"/>
    <n v="8.1881585001869137"/>
    <n v="0"/>
    <n v="0"/>
    <n v="0"/>
    <n v="0"/>
    <n v="17.538491332031217"/>
    <m/>
    <n v="2.1876045156854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982943813089284"/>
    <n v="0"/>
    <n v="0"/>
    <n v="0"/>
    <n v="735.29"/>
    <n v="18"/>
    <m/>
    <m/>
    <m/>
    <m/>
    <m/>
    <m/>
    <m/>
    <m/>
    <m/>
    <n v="395.59397441360915"/>
    <m/>
    <m/>
    <m/>
    <m/>
    <m/>
    <m/>
    <m/>
    <m/>
    <m/>
    <m/>
    <m/>
    <m/>
    <n v="1020.2844"/>
    <n v="-152.42229999999995"/>
    <m/>
    <m/>
    <m/>
    <m/>
    <n v="-203.98982000000004"/>
    <n v="50.500440000000012"/>
    <m/>
    <n v="52.607214559791828"/>
    <n v="0"/>
    <n v="0"/>
    <n v="0"/>
    <n v="0"/>
    <n v="0"/>
    <n v="0"/>
    <n v="0"/>
    <n v="6.9071321256226383"/>
    <n v="0"/>
    <n v="0"/>
    <n v="50.499483277073637"/>
    <n v="0"/>
    <n v="0"/>
    <n v="0"/>
    <n v="0.51561294095245769"/>
    <n v="0"/>
    <n v="-4.6147514477876257"/>
    <m/>
    <n v="0"/>
    <n v="0"/>
    <n v="0"/>
    <n v="0"/>
    <n v="-0.55764577747646271"/>
    <n v="-0.14261655859294775"/>
    <n v="0"/>
    <n v="0"/>
    <m/>
    <m/>
    <m/>
    <n v="469.72189375842652"/>
    <n v="0"/>
    <n v="0"/>
    <n v="-203.98982000000001"/>
    <n v="50.500440000000026"/>
    <n v="0"/>
    <n v="0"/>
    <n v="-206.100958689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3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5.37"/>
    <n v="5.37"/>
    <n v="5.37"/>
    <n v="5.37"/>
    <m/>
    <n v="345.46"/>
    <n v="215.17"/>
    <m/>
    <n v="3010.5830999999998"/>
    <n v="3010.5830999999998"/>
    <n v="2581.8959999999997"/>
    <n v="0"/>
    <n v="0"/>
    <n v="0"/>
    <n v="0"/>
    <n v="0"/>
    <n v="479.62465066538647"/>
    <n v="1357.5923409487355"/>
    <n v="1131.7916048296297"/>
    <n v="23.66545271582547"/>
    <n v="0"/>
    <n v="0"/>
    <n v="0"/>
    <n v="0"/>
    <n v="0"/>
    <m/>
    <n v="6.3226244613730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55888497109228"/>
    <n v="0"/>
    <n v="0"/>
    <n v="0"/>
    <n v="121.84"/>
    <n v="8"/>
    <m/>
    <m/>
    <m/>
    <m/>
    <m/>
    <m/>
    <m/>
    <n v="1678.2324000000001"/>
    <m/>
    <n v="1143.3474933267389"/>
    <m/>
    <m/>
    <m/>
    <m/>
    <m/>
    <m/>
    <m/>
    <m/>
    <m/>
    <m/>
    <m/>
    <m/>
    <n v="903.66359999999986"/>
    <n v="-150.06780000000003"/>
    <m/>
    <m/>
    <m/>
    <m/>
    <n v="-574.64369999999997"/>
    <n v="145.95660000000004"/>
    <m/>
    <n v="166.99489520223369"/>
    <n v="0"/>
    <n v="0"/>
    <n v="0"/>
    <n v="0"/>
    <n v="0"/>
    <n v="0"/>
    <n v="0"/>
    <n v="19.963024496552009"/>
    <n v="0"/>
    <n v="0"/>
    <n v="145.95383487507297"/>
    <n v="0"/>
    <n v="0"/>
    <n v="0"/>
    <n v="1.4902268530219036"/>
    <n v="0"/>
    <n v="0"/>
    <m/>
    <n v="0"/>
    <n v="0"/>
    <n v="0"/>
    <n v="0"/>
    <n v="0"/>
    <n v="-0.41219102241341865"/>
    <n v="0"/>
    <n v="0"/>
    <m/>
    <m/>
    <m/>
    <n v="1357.5923409487355"/>
    <n v="0"/>
    <n v="0"/>
    <n v="-574.64369999999985"/>
    <n v="145.95659999999998"/>
    <n v="0"/>
    <n v="0"/>
    <n v="-595.67392258414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4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1.026"/>
    <n v="11.026"/>
    <n v="11.026"/>
    <n v="11.026"/>
    <m/>
    <n v="345.46"/>
    <n v="215.17"/>
    <m/>
    <n v="6181.5063799999989"/>
    <n v="6181.5063799999989"/>
    <n v="5301.3008"/>
    <n v="0"/>
    <n v="0"/>
    <n v="0"/>
    <n v="0"/>
    <n v="0"/>
    <n v="984.79355646863155"/>
    <n v="2787.4884825513514"/>
    <n v="2323.8611238084723"/>
    <n v="48.591300120054306"/>
    <n v="0"/>
    <n v="0"/>
    <n v="0"/>
    <n v="0"/>
    <n v="0"/>
    <m/>
    <n v="12.981984601694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727230273580325"/>
    <n v="0"/>
    <n v="0"/>
    <n v="0"/>
    <n v="434.73"/>
    <n v="37"/>
    <m/>
    <m/>
    <m/>
    <m/>
    <m/>
    <m/>
    <m/>
    <n v="2120.5203199999996"/>
    <m/>
    <n v="2347.5883540820528"/>
    <m/>
    <m/>
    <m/>
    <m/>
    <m/>
    <m/>
    <m/>
    <m/>
    <m/>
    <m/>
    <m/>
    <m/>
    <n v="3181.9343999999996"/>
    <n v="-526.91122000000087"/>
    <m/>
    <m/>
    <m/>
    <m/>
    <n v="-1179.8922599999999"/>
    <n v="299.68668000000008"/>
    <m/>
    <n v="342.88374571691338"/>
    <n v="0"/>
    <n v="0"/>
    <n v="0"/>
    <n v="0"/>
    <n v="0"/>
    <n v="0"/>
    <n v="0"/>
    <n v="40.989256629233068"/>
    <n v="0"/>
    <n v="0"/>
    <n v="299.68100248278506"/>
    <n v="0"/>
    <n v="0"/>
    <n v="0"/>
    <n v="3.059821467675885"/>
    <n v="0"/>
    <n v="0"/>
    <m/>
    <n v="0"/>
    <n v="0"/>
    <n v="0"/>
    <n v="0"/>
    <n v="0"/>
    <n v="-0.84633486278032599"/>
    <n v="0"/>
    <n v="0"/>
    <m/>
    <m/>
    <m/>
    <n v="2787.4884825513514"/>
    <n v="0"/>
    <n v="0"/>
    <n v="-1179.8922599999996"/>
    <n v="299.68668000000025"/>
    <n v="0"/>
    <n v="0"/>
    <n v="-1223.0727505424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5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0.201000000000001"/>
    <n v="10.201000000000001"/>
    <n v="10.201000000000001"/>
    <n v="10.201000000000001"/>
    <m/>
    <n v="345.46"/>
    <n v="215.17"/>
    <m/>
    <n v="5718.9866299999994"/>
    <n v="5718.9866299999994"/>
    <n v="4904.6408000000001"/>
    <n v="0"/>
    <n v="0"/>
    <n v="0"/>
    <n v="0"/>
    <n v="0"/>
    <n v="911.10820510942415"/>
    <n v="2578.9198268190039"/>
    <n v="2149.9825253011272"/>
    <n v="44.955546211198438"/>
    <n v="0"/>
    <n v="0"/>
    <n v="0"/>
    <n v="0"/>
    <n v="0"/>
    <m/>
    <n v="12.010631681651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951884275421087"/>
    <n v="0"/>
    <n v="0"/>
    <n v="0"/>
    <n v="1001.13"/>
    <n v="100"/>
    <m/>
    <m/>
    <m/>
    <m/>
    <m/>
    <m/>
    <m/>
    <n v="490.5660899999998"/>
    <m/>
    <n v="2171.9344095765482"/>
    <m/>
    <m/>
    <m/>
    <m/>
    <m/>
    <m/>
    <m/>
    <m/>
    <m/>
    <m/>
    <m/>
    <m/>
    <n v="4413.6419999999998"/>
    <n v="-733.40456000000086"/>
    <m/>
    <m/>
    <m/>
    <m/>
    <n v="-1091.6090099999999"/>
    <n v="277.26318000000009"/>
    <m/>
    <n v="317.22810539254851"/>
    <n v="0"/>
    <n v="0"/>
    <n v="0"/>
    <n v="0"/>
    <n v="0"/>
    <n v="0"/>
    <n v="0"/>
    <n v="37.922311525014265"/>
    <n v="0"/>
    <n v="0"/>
    <n v="277.25792729248042"/>
    <n v="0"/>
    <n v="0"/>
    <n v="0"/>
    <n v="2.8308760014295054"/>
    <n v="0"/>
    <n v="0"/>
    <m/>
    <n v="0"/>
    <n v="0"/>
    <n v="0"/>
    <n v="0"/>
    <n v="0"/>
    <n v="-0.78300942637602944"/>
    <n v="0"/>
    <n v="0"/>
    <m/>
    <m/>
    <m/>
    <n v="2578.9198268190039"/>
    <n v="0"/>
    <n v="0"/>
    <n v="-1091.6090100000001"/>
    <n v="277.26318000000038"/>
    <n v="0"/>
    <n v="0"/>
    <n v="-1131.5586004247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6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.6139999999999999"/>
    <n v="2.6139999999999999"/>
    <n v="2.6139999999999999"/>
    <n v="2.6139999999999999"/>
    <m/>
    <n v="345.46"/>
    <n v="215.17"/>
    <m/>
    <n v="1465.4868199999999"/>
    <n v="1465.4868199999999"/>
    <n v="1256.8111999999999"/>
    <n v="0"/>
    <n v="0"/>
    <n v="0"/>
    <n v="0"/>
    <n v="0"/>
    <n v="233.47091933693113"/>
    <n v="660.84662555679597"/>
    <n v="550.93170484630389"/>
    <n v="11.519831173029381"/>
    <n v="0"/>
    <n v="0"/>
    <n v="0"/>
    <n v="0"/>
    <n v="0"/>
    <m/>
    <n v="3.0777170096888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251568959857581"/>
    <n v="0"/>
    <n v="0"/>
    <n v="0"/>
    <n v="427.93"/>
    <n v="34"/>
    <m/>
    <m/>
    <m/>
    <m/>
    <m/>
    <m/>
    <m/>
    <m/>
    <m/>
    <n v="556.5568617422897"/>
    <m/>
    <m/>
    <m/>
    <m/>
    <m/>
    <m/>
    <m/>
    <m/>
    <m/>
    <m/>
    <m/>
    <m/>
    <n v="1254.8879999999999"/>
    <n v="-210.62881999999991"/>
    <m/>
    <m/>
    <m/>
    <m/>
    <n v="-279.72413999999998"/>
    <n v="71.048520000000011"/>
    <m/>
    <n v="81.289507645928893"/>
    <n v="0"/>
    <n v="0"/>
    <n v="0"/>
    <n v="0"/>
    <n v="0"/>
    <n v="0"/>
    <n v="0"/>
    <n v="9.7175690938522905"/>
    <n v="0"/>
    <n v="0"/>
    <n v="71.047173996916399"/>
    <n v="0"/>
    <n v="0"/>
    <n v="0"/>
    <n v="0.72541024093095974"/>
    <n v="0"/>
    <n v="0"/>
    <m/>
    <n v="0"/>
    <n v="0"/>
    <n v="0"/>
    <n v="0"/>
    <n v="0"/>
    <n v="-0.20064568577070307"/>
    <n v="0"/>
    <n v="0"/>
    <m/>
    <m/>
    <m/>
    <n v="660.84662555679597"/>
    <n v="0"/>
    <n v="0"/>
    <n v="-279.72414000000003"/>
    <n v="71.048520000000053"/>
    <n v="0"/>
    <n v="0"/>
    <n v="-289.96119806982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7"/>
    <s v="Regular"/>
    <s v="Convencional"/>
    <s v="B3"/>
    <s v="Industrial"/>
    <s v="Não se aplica"/>
    <s v="Não se aplica"/>
    <s v="Não se aplica"/>
    <s v="Não se aplica"/>
    <s v="CATIVO"/>
    <x v="3"/>
    <n v="0"/>
    <n v="0"/>
    <n v="26.326000000000001"/>
    <n v="26.326000000000001"/>
    <n v="26.326000000000001"/>
    <n v="26.326000000000001"/>
    <m/>
    <n v="415.98"/>
    <n v="215.17"/>
    <m/>
    <n v="16615.654900000001"/>
    <n v="16615.654900000001"/>
    <n v="14440.86404"/>
    <n v="0"/>
    <n v="1608.1657814275723"/>
    <n v="0"/>
    <n v="0"/>
    <n v="0"/>
    <n v="2351.3218907666601"/>
    <n v="6655.4890070421616"/>
    <n v="5548.5187688537862"/>
    <n v="116.01800897519951"/>
    <n v="0"/>
    <n v="0"/>
    <n v="0"/>
    <n v="0"/>
    <n v="248.50286480465758"/>
    <m/>
    <n v="30.996166027952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65182878489712"/>
    <n v="0"/>
    <n v="0"/>
    <n v="0"/>
    <n v="6059.35"/>
    <n v="37"/>
    <m/>
    <m/>
    <m/>
    <m/>
    <m/>
    <m/>
    <m/>
    <m/>
    <m/>
    <n v="5605.1705976386829"/>
    <m/>
    <m/>
    <m/>
    <m/>
    <m/>
    <m/>
    <m/>
    <m/>
    <m/>
    <m/>
    <m/>
    <m/>
    <n v="14443.058199999999"/>
    <n v="-2172.6267000000007"/>
    <m/>
    <m/>
    <m/>
    <m/>
    <n v="-2890.3315400000006"/>
    <n v="715.54068000000018"/>
    <m/>
    <n v="745.39156646990341"/>
    <n v="0"/>
    <n v="0"/>
    <n v="0"/>
    <n v="0"/>
    <n v="0"/>
    <n v="0"/>
    <n v="0"/>
    <n v="97.867147652928907"/>
    <n v="0"/>
    <n v="0"/>
    <n v="715.52712419388627"/>
    <n v="0"/>
    <n v="0"/>
    <n v="0"/>
    <n v="7.3057192053360538"/>
    <n v="0"/>
    <n v="-65.386408296263198"/>
    <m/>
    <n v="0"/>
    <n v="0"/>
    <n v="0"/>
    <n v="0"/>
    <n v="-7.9012824207994186"/>
    <n v="-2.0207338651872746"/>
    <n v="0"/>
    <n v="0"/>
    <m/>
    <m/>
    <m/>
    <n v="6655.4890070421616"/>
    <n v="0"/>
    <n v="0"/>
    <n v="-2890.3315400000001"/>
    <n v="715.54068000000007"/>
    <n v="0"/>
    <n v="0"/>
    <n v="-2920.2442618156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8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8.94"/>
    <n v="8.94"/>
    <n v="8.94"/>
    <n v="8.94"/>
    <m/>
    <n v="415.98"/>
    <n v="215.17"/>
    <m/>
    <n v="5642.4809999999998"/>
    <n v="5642.4809999999998"/>
    <n v="4903.9475999999995"/>
    <n v="0"/>
    <n v="546.11418696203361"/>
    <n v="0"/>
    <n v="0"/>
    <n v="0"/>
    <n v="798.48126200159311"/>
    <n v="2260.1257966632575"/>
    <n v="1884.2117220068694"/>
    <n v="39.398351448692679"/>
    <n v="0"/>
    <n v="0"/>
    <n v="0"/>
    <n v="0"/>
    <n v="84.388650435069465"/>
    <m/>
    <n v="10.525933460833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238294816416477"/>
    <n v="0"/>
    <n v="0"/>
    <n v="0"/>
    <n v="3229.65"/>
    <n v="4"/>
    <m/>
    <m/>
    <m/>
    <m/>
    <m/>
    <m/>
    <m/>
    <m/>
    <m/>
    <n v="1903.450016823286"/>
    <m/>
    <m/>
    <m/>
    <m/>
    <m/>
    <m/>
    <m/>
    <m/>
    <m/>
    <m/>
    <m/>
    <m/>
    <n v="4903.9475999999995"/>
    <n v="-738.56340000000091"/>
    <m/>
    <m/>
    <m/>
    <m/>
    <n v="-981.52260000000012"/>
    <n v="242.98920000000004"/>
    <m/>
    <n v="253.12620999167757"/>
    <n v="0"/>
    <n v="0"/>
    <n v="0"/>
    <n v="0"/>
    <n v="0"/>
    <n v="0"/>
    <n v="0"/>
    <n v="33.234532402080958"/>
    <n v="0"/>
    <n v="0"/>
    <n v="242.98459660766321"/>
    <n v="0"/>
    <n v="0"/>
    <n v="0"/>
    <n v="2.4809363251426113"/>
    <n v="0"/>
    <n v="-22.20445529775111"/>
    <m/>
    <n v="0"/>
    <n v="0"/>
    <n v="0"/>
    <n v="0"/>
    <n v="-2.6831825891493963"/>
    <n v="-0.68621745630837161"/>
    <n v="0"/>
    <n v="0"/>
    <m/>
    <m/>
    <m/>
    <n v="2260.1257966632575"/>
    <n v="0"/>
    <n v="0"/>
    <n v="-981.52259999999978"/>
    <n v="242.98920000000021"/>
    <n v="0"/>
    <n v="0"/>
    <n v="-991.68060854790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19"/>
    <s v="Regular"/>
    <s v="Verde"/>
    <s v="A4"/>
    <s v="Industrial"/>
    <s v="Não se aplica"/>
    <s v="Não se aplica"/>
    <s v="Não se aplica"/>
    <s v="Ponta"/>
    <s v="CATIVO"/>
    <x v="3"/>
    <n v="0"/>
    <n v="0"/>
    <n v="138.297"/>
    <n v="138.297"/>
    <n v="138.297"/>
    <n v="138.297"/>
    <m/>
    <n v="2184.0300000000002"/>
    <n v="215.17"/>
    <m/>
    <n v="331802.16240000003"/>
    <n v="331802.16240000003"/>
    <n v="250371.50582999998"/>
    <n v="0"/>
    <n v="7349.8411332696633"/>
    <n v="0"/>
    <n v="0"/>
    <n v="0"/>
    <n v="91136.930026181071"/>
    <n v="202041.97013769523"/>
    <n v="29147.743682145865"/>
    <n v="609.47134343398784"/>
    <n v="0"/>
    <n v="0"/>
    <n v="0"/>
    <n v="0"/>
    <n v="1305.4471128880091"/>
    <m/>
    <n v="95.407317340465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90421171172304"/>
    <n v="0"/>
    <n v="0"/>
    <n v="0"/>
    <n v="0"/>
    <n v="0"/>
    <m/>
    <m/>
    <m/>
    <m/>
    <m/>
    <m/>
    <m/>
    <m/>
    <m/>
    <n v="29262.647893857589"/>
    <m/>
    <m/>
    <m/>
    <m/>
    <m/>
    <m/>
    <m/>
    <m/>
    <m/>
    <m/>
    <m/>
    <m/>
    <n v="250376.93700000001"/>
    <n v="-81425.255400000053"/>
    <m/>
    <m/>
    <m/>
    <m/>
    <n v="-85189.569030000028"/>
    <n v="3758.9124600000009"/>
    <m/>
    <n v="7220.4125213632215"/>
    <n v="0"/>
    <n v="0"/>
    <n v="0"/>
    <n v="0"/>
    <n v="0"/>
    <n v="0"/>
    <n v="0"/>
    <n v="3793.3178874963342"/>
    <n v="0"/>
    <n v="0"/>
    <n v="3758.8412479921717"/>
    <n v="0"/>
    <n v="0"/>
    <n v="0"/>
    <n v="14.817843029634645"/>
    <n v="0"/>
    <n v="-298.83717139287182"/>
    <m/>
    <n v="0"/>
    <n v="0"/>
    <n v="0"/>
    <n v="0"/>
    <n v="-41.507394019193953"/>
    <n v="-6.219891742827059"/>
    <n v="0"/>
    <n v="0"/>
    <m/>
    <m/>
    <m/>
    <n v="202041.97013769523"/>
    <n v="0"/>
    <n v="0"/>
    <n v="-85189.569030000042"/>
    <n v="3758.9124599999996"/>
    <n v="0"/>
    <n v="0"/>
    <n v="-88650.42122618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0"/>
    <s v="Regular"/>
    <s v="Verde"/>
    <s v="A4"/>
    <s v="Industrial"/>
    <s v="Não se aplica"/>
    <s v="Não se aplica"/>
    <s v="Não se aplica"/>
    <s v="Fora ponta"/>
    <s v="CATIVO"/>
    <x v="3"/>
    <n v="0"/>
    <n v="0"/>
    <n v="1590.2850000000001"/>
    <n v="1590.2850000000001"/>
    <n v="1590.2850000000001"/>
    <n v="1590.2850000000001"/>
    <m/>
    <n v="64.11"/>
    <n v="215.17"/>
    <m/>
    <n v="444134.79480000003"/>
    <n v="444134.79480000003"/>
    <n v="483542.05710000003"/>
    <n v="0"/>
    <n v="84516.237565686504"/>
    <n v="0"/>
    <n v="0"/>
    <n v="0"/>
    <n v="0"/>
    <n v="0"/>
    <n v="335171.54791182268"/>
    <n v="7008.3453393270966"/>
    <n v="0"/>
    <n v="0"/>
    <n v="0"/>
    <n v="0"/>
    <n v="15011.409950462466"/>
    <m/>
    <n v="1097.09412103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1.2900086189684"/>
    <n v="0"/>
    <n v="0"/>
    <n v="0"/>
    <n v="0"/>
    <n v="0"/>
    <m/>
    <m/>
    <m/>
    <m/>
    <m/>
    <m/>
    <m/>
    <m/>
    <m/>
    <n v="336492.83792044164"/>
    <m/>
    <m/>
    <m/>
    <m/>
    <m/>
    <m/>
    <m/>
    <m/>
    <m/>
    <m/>
    <m/>
    <m/>
    <n v="483543.57739999995"/>
    <n v="39408.752599999949"/>
    <m/>
    <m/>
    <m/>
    <m/>
    <n v="-3816.6839999999979"/>
    <n v="43223.946300000011"/>
    <m/>
    <n v="39408.354409850203"/>
    <n v="0"/>
    <n v="0"/>
    <n v="0"/>
    <n v="0"/>
    <n v="0"/>
    <n v="0"/>
    <n v="0"/>
    <n v="0"/>
    <n v="0"/>
    <n v="0"/>
    <n v="43223.127429107146"/>
    <n v="0"/>
    <n v="0"/>
    <n v="0"/>
    <n v="170.39121240795203"/>
    <n v="0"/>
    <n v="-3436.3454818868922"/>
    <m/>
    <n v="0"/>
    <n v="0"/>
    <n v="0"/>
    <n v="0"/>
    <n v="-477.29586395810293"/>
    <n v="-71.522885819950943"/>
    <n v="0"/>
    <n v="0"/>
    <m/>
    <m/>
    <m/>
    <n v="0"/>
    <n v="0"/>
    <n v="0"/>
    <n v="-3816.6839999999938"/>
    <n v="43223.9463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1"/>
    <s v="Regular"/>
    <s v="Verde"/>
    <s v="A4"/>
    <s v="Industrial"/>
    <s v="Não se aplica"/>
    <s v="Não se aplica"/>
    <s v="Não se aplica"/>
    <s v="Não se aplica"/>
    <s v="CATIVO"/>
    <x v="3"/>
    <n v="4940"/>
    <n v="4940"/>
    <n v="0"/>
    <n v="0"/>
    <n v="0"/>
    <n v="0"/>
    <n v="28.04"/>
    <m/>
    <m/>
    <n v="138517.6"/>
    <m/>
    <n v="138517.6"/>
    <n v="104036.4"/>
    <n v="0"/>
    <n v="0"/>
    <n v="0"/>
    <n v="0"/>
    <n v="0"/>
    <n v="54689.146328851239"/>
    <n v="83853.0415074148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9773.13"/>
    <n v="14"/>
    <m/>
    <m/>
    <m/>
    <m/>
    <m/>
    <m/>
    <m/>
    <m/>
    <m/>
    <n v="0"/>
    <m/>
    <m/>
    <m/>
    <m/>
    <m/>
    <m/>
    <m/>
    <m/>
    <m/>
    <m/>
    <m/>
    <m/>
    <n v="104036.4"/>
    <n v="-34481.23000000004"/>
    <m/>
    <m/>
    <m/>
    <m/>
    <n v="-34481.200000000004"/>
    <n v="0"/>
    <m/>
    <n v="2276.2816013389674"/>
    <n v="0"/>
    <n v="0"/>
    <n v="0"/>
    <n v="0"/>
    <m/>
    <m/>
    <m/>
    <n v="2276.28160133896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3853.041507414819"/>
    <m/>
    <n v="0"/>
    <n v="0"/>
    <n v="-34481.200000000012"/>
    <m/>
    <n v="0"/>
    <m/>
    <n v="-36792.392420560296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122"/>
    <s v="Regular"/>
    <s v="Convencional"/>
    <s v="B3"/>
    <s v="Comercial"/>
    <s v="Não se aplica"/>
    <s v="Não se aplica"/>
    <s v="Não se aplica"/>
    <s v="Não se aplica"/>
    <s v="CATIVO"/>
    <x v="3"/>
    <n v="0"/>
    <n v="0"/>
    <n v="192.08699999999999"/>
    <n v="192.08699999999999"/>
    <n v="192.08699999999999"/>
    <n v="192.08699999999999"/>
    <m/>
    <n v="415.98"/>
    <n v="215.17"/>
    <m/>
    <n v="121235.71004999999"/>
    <n v="121235.71004999999"/>
    <n v="105367.40298"/>
    <n v="0"/>
    <n v="11733.941368118136"/>
    <n v="0"/>
    <n v="0"/>
    <n v="0"/>
    <n v="17156.361317013423"/>
    <n v="48561.608937769037"/>
    <n v="40484.628304824779"/>
    <n v="846.52249829139043"/>
    <n v="0"/>
    <n v="0"/>
    <n v="0"/>
    <n v="0"/>
    <n v="1813.1949324520344"/>
    <m/>
    <n v="226.162749518017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3.35865060413784"/>
    <n v="0"/>
    <n v="0"/>
    <n v="0"/>
    <n v="43799.87"/>
    <n v="443"/>
    <m/>
    <m/>
    <m/>
    <m/>
    <m/>
    <m/>
    <m/>
    <m/>
    <m/>
    <n v="40897.986955428918"/>
    <m/>
    <m/>
    <m/>
    <m/>
    <m/>
    <m/>
    <m/>
    <m/>
    <m/>
    <m/>
    <m/>
    <m/>
    <n v="105369.04860000001"/>
    <n v="-15866.691449999969"/>
    <m/>
    <m/>
    <m/>
    <m/>
    <n v="-21089.231730000003"/>
    <n v="5220.9246600000006"/>
    <m/>
    <n v="5438.730905891658"/>
    <n v="0"/>
    <n v="0"/>
    <n v="0"/>
    <n v="0"/>
    <n v="0"/>
    <n v="0"/>
    <n v="0"/>
    <n v="714.08519301102206"/>
    <n v="0"/>
    <n v="0"/>
    <n v="5220.8257504000285"/>
    <n v="0"/>
    <n v="0"/>
    <n v="0"/>
    <n v="53.305997302871162"/>
    <n v="0"/>
    <n v="-477.09029136231402"/>
    <m/>
    <n v="0"/>
    <n v="0"/>
    <n v="0"/>
    <n v="0"/>
    <n v="-57.651509396190022"/>
    <n v="-14.744234063747911"/>
    <n v="0"/>
    <n v="0"/>
    <m/>
    <m/>
    <m/>
    <n v="48561.608937769037"/>
    <n v="0"/>
    <n v="0"/>
    <n v="-21089.231729999992"/>
    <n v="5220.9246600000042"/>
    <n v="0"/>
    <n v="0"/>
    <n v="-21307.489155944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3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.4910000000000001"/>
    <n v="1.4910000000000001"/>
    <n v="1.4910000000000001"/>
    <n v="1.4910000000000001"/>
    <m/>
    <n v="415.98"/>
    <n v="215.17"/>
    <m/>
    <n v="941.04465000000005"/>
    <n v="941.04465000000005"/>
    <n v="817.87314000000003"/>
    <n v="0"/>
    <n v="91.080117758433119"/>
    <n v="0"/>
    <n v="0"/>
    <n v="0"/>
    <n v="133.16952591100397"/>
    <n v="376.94044326900644"/>
    <n v="314.24604893872959"/>
    <n v="6.5707988825504247"/>
    <n v="0"/>
    <n v="0"/>
    <n v="0"/>
    <n v="0"/>
    <n v="14.074214518868969"/>
    <m/>
    <n v="1.7554996409510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085344039459702"/>
    <n v="0"/>
    <n v="0"/>
    <n v="0"/>
    <n v="1266.53"/>
    <n v="8"/>
    <m/>
    <m/>
    <m/>
    <m/>
    <m/>
    <m/>
    <m/>
    <m/>
    <m/>
    <n v="317.45458334267556"/>
    <m/>
    <m/>
    <m/>
    <m/>
    <m/>
    <m/>
    <m/>
    <m/>
    <m/>
    <m/>
    <m/>
    <m/>
    <n v="817.32459999999992"/>
    <n v="-123.7500500000001"/>
    <m/>
    <m/>
    <m/>
    <m/>
    <n v="-163.69689000000005"/>
    <n v="40.525380000000013"/>
    <m/>
    <n v="42.216015559014863"/>
    <n v="0"/>
    <n v="0"/>
    <n v="0"/>
    <n v="0"/>
    <n v="0"/>
    <n v="0"/>
    <n v="0"/>
    <n v="5.5428062428973703"/>
    <n v="0"/>
    <n v="0"/>
    <n v="40.524612253023065"/>
    <n v="0"/>
    <n v="0"/>
    <n v="0"/>
    <n v="0.41376689717982451"/>
    <n v="0"/>
    <n v="-3.7032262694571187"/>
    <m/>
    <n v="0"/>
    <n v="0"/>
    <n v="0"/>
    <n v="0"/>
    <n v="-0.44749723047223"/>
    <n v="-0.11444633415612793"/>
    <n v="0"/>
    <n v="0"/>
    <m/>
    <m/>
    <m/>
    <n v="376.94044326900644"/>
    <n v="0"/>
    <n v="0"/>
    <n v="-163.69689000000011"/>
    <n v="40.525380000000041"/>
    <n v="0"/>
    <n v="0"/>
    <n v="-165.3910276672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4"/>
    <s v="Regular"/>
    <s v="Verde"/>
    <s v="A4"/>
    <s v="Comercial"/>
    <s v="Não se aplica"/>
    <s v="Não se aplica"/>
    <s v="Não se aplica"/>
    <s v="Ponta"/>
    <s v="CATIVO"/>
    <x v="3"/>
    <n v="0"/>
    <n v="0"/>
    <n v="3.2309999999999999"/>
    <n v="3.2309999999999999"/>
    <n v="3.2309999999999999"/>
    <n v="3.2309999999999999"/>
    <m/>
    <n v="2184.0300000000002"/>
    <n v="215.17"/>
    <m/>
    <n v="7751.8152000000009"/>
    <n v="7751.8152000000009"/>
    <n v="5849.3700899999994"/>
    <n v="0"/>
    <n v="171.71259464481719"/>
    <n v="0"/>
    <n v="0"/>
    <n v="0"/>
    <n v="2129.2104739408019"/>
    <n v="4720.2586138158686"/>
    <n v="680.97182033603974"/>
    <n v="14.238934399410073"/>
    <n v="0"/>
    <n v="0"/>
    <n v="0"/>
    <n v="0"/>
    <n v="30.498851180728124"/>
    <m/>
    <n v="2.228978519613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844798371662226"/>
    <n v="0"/>
    <n v="0"/>
    <n v="0"/>
    <n v="0"/>
    <n v="0"/>
    <m/>
    <m/>
    <m/>
    <m/>
    <m/>
    <m/>
    <m/>
    <m/>
    <m/>
    <n v="683.65630017320598"/>
    <m/>
    <m/>
    <m/>
    <m/>
    <m/>
    <m/>
    <m/>
    <m/>
    <m/>
    <m/>
    <m/>
    <m/>
    <n v="5847.5596999999998"/>
    <n v="-1904.2855000000018"/>
    <m/>
    <m/>
    <m/>
    <m/>
    <n v="-1990.2636900000007"/>
    <n v="87.818580000000026"/>
    <m/>
    <n v="168.68878469181982"/>
    <n v="0"/>
    <n v="0"/>
    <n v="0"/>
    <n v="0"/>
    <n v="0"/>
    <n v="0"/>
    <n v="0"/>
    <n v="88.622385839899835"/>
    <n v="0"/>
    <n v="0"/>
    <n v="87.81691629075624"/>
    <n v="0"/>
    <n v="0"/>
    <n v="0"/>
    <n v="0.34618575116415817"/>
    <n v="0"/>
    <n v="-6.9816619360533423"/>
    <m/>
    <n v="0"/>
    <n v="0"/>
    <n v="0"/>
    <n v="0"/>
    <n v="-0.96972739883016601"/>
    <n v="-0.14531385511669992"/>
    <n v="0"/>
    <n v="0"/>
    <m/>
    <m/>
    <m/>
    <n v="4720.2586138158686"/>
    <n v="0"/>
    <n v="0"/>
    <n v="-1990.2636900000007"/>
    <n v="87.818579999999997"/>
    <n v="0"/>
    <n v="0"/>
    <n v="-2071.118758771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5"/>
    <s v="Regular"/>
    <s v="Verde"/>
    <s v="A4"/>
    <s v="Comercial"/>
    <s v="Não se aplica"/>
    <s v="Não se aplica"/>
    <s v="Não se aplica"/>
    <s v="Fora ponta"/>
    <s v="CATIVO"/>
    <x v="3"/>
    <n v="0"/>
    <n v="0"/>
    <n v="32.871000000000002"/>
    <n v="32.871000000000002"/>
    <n v="32.871000000000002"/>
    <n v="32.871000000000002"/>
    <m/>
    <n v="64.11"/>
    <n v="215.17"/>
    <m/>
    <n v="9180.2128799999991"/>
    <n v="9180.2128799999991"/>
    <n v="9994.7562600000001"/>
    <n v="0"/>
    <n v="1746.9404823800019"/>
    <n v="0"/>
    <n v="0"/>
    <n v="0"/>
    <n v="0"/>
    <n v="0"/>
    <n v="6927.9556503453923"/>
    <n v="144.86165665212275"/>
    <n v="0"/>
    <n v="0"/>
    <n v="0"/>
    <n v="0"/>
    <n v="310.28404121377724"/>
    <m/>
    <n v="22.676803750612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310905827140488"/>
    <n v="0"/>
    <n v="0"/>
    <n v="0"/>
    <n v="0"/>
    <n v="0"/>
    <m/>
    <m/>
    <m/>
    <m/>
    <m/>
    <m/>
    <m/>
    <m/>
    <m/>
    <n v="6955.2665561725325"/>
    <m/>
    <m/>
    <m/>
    <m/>
    <m/>
    <m/>
    <m/>
    <m/>
    <m/>
    <m/>
    <m/>
    <m/>
    <n v="9994.4521999999997"/>
    <n v="814.20931999999993"/>
    <m/>
    <m/>
    <m/>
    <m/>
    <n v="-78.890399999999957"/>
    <n v="893.4337800000003"/>
    <m/>
    <n v="814.56595377947087"/>
    <n v="0"/>
    <n v="0"/>
    <n v="0"/>
    <n v="0"/>
    <n v="0"/>
    <n v="0"/>
    <n v="0"/>
    <n v="0"/>
    <n v="0"/>
    <n v="0"/>
    <n v="893.41685403697011"/>
    <n v="0"/>
    <n v="0"/>
    <n v="0"/>
    <n v="3.5219659011194828"/>
    <n v="0"/>
    <n v="-71.028848498919615"/>
    <m/>
    <n v="0"/>
    <n v="0"/>
    <n v="0"/>
    <n v="0"/>
    <n v="-9.8656481977549788"/>
    <n v="-1.4783694619439949"/>
    <n v="0"/>
    <n v="0"/>
    <m/>
    <m/>
    <m/>
    <n v="0"/>
    <n v="0"/>
    <n v="0"/>
    <n v="-78.890399999999772"/>
    <n v="893.433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6"/>
    <s v="Regular"/>
    <s v="Verde"/>
    <s v="A4"/>
    <s v="Comercial"/>
    <s v="Não se aplica"/>
    <s v="Não se aplica"/>
    <s v="Não se aplica"/>
    <s v="Não se aplica"/>
    <s v="CATIVO"/>
    <x v="3"/>
    <n v="112"/>
    <n v="112"/>
    <n v="0"/>
    <n v="0"/>
    <n v="0"/>
    <n v="0"/>
    <n v="28.04"/>
    <m/>
    <m/>
    <n v="3140.48"/>
    <m/>
    <n v="3140.48"/>
    <n v="2358.7199999999998"/>
    <n v="0"/>
    <n v="0"/>
    <n v="0"/>
    <n v="0"/>
    <n v="0"/>
    <n v="1239.9158681844815"/>
    <n v="1901.121588832076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065.19"/>
    <n v="1"/>
    <m/>
    <m/>
    <m/>
    <m/>
    <m/>
    <m/>
    <m/>
    <m/>
    <m/>
    <n v="0"/>
    <m/>
    <m/>
    <m/>
    <m/>
    <m/>
    <m/>
    <m/>
    <m/>
    <m/>
    <m/>
    <m/>
    <m/>
    <n v="2358.7199999999998"/>
    <n v="-781.79000000000087"/>
    <m/>
    <m/>
    <m/>
    <m/>
    <n v="-781.76"/>
    <n v="0"/>
    <m/>
    <n v="51.608003916996722"/>
    <n v="0"/>
    <n v="0"/>
    <n v="0"/>
    <n v="0"/>
    <m/>
    <m/>
    <m/>
    <n v="51.6080039169967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01.1215888320769"/>
    <m/>
    <n v="0"/>
    <n v="0"/>
    <n v="-781.76000000000022"/>
    <m/>
    <n v="0"/>
    <m/>
    <n v="-834.15950427181247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127"/>
    <s v="Regular"/>
    <s v="Branca"/>
    <s v="B3"/>
    <s v="Comercial"/>
    <s v="Não se aplica"/>
    <s v="Não se aplica"/>
    <s v="Não se aplica"/>
    <s v="Ponta"/>
    <s v="CATIVO"/>
    <x v="3"/>
    <n v="0"/>
    <n v="0"/>
    <n v="5.7000000000000002E-2"/>
    <n v="5.7000000000000002E-2"/>
    <n v="5.7000000000000002E-2"/>
    <n v="5.7000000000000002E-2"/>
    <m/>
    <n v="1254.27"/>
    <n v="215.17"/>
    <m/>
    <n v="83.758080000000007"/>
    <n v="83.758080000000007"/>
    <n v="64.077690000000004"/>
    <n v="0"/>
    <n v="3.4819360913686705"/>
    <n v="0"/>
    <n v="0"/>
    <n v="0"/>
    <n v="17.568300506650989"/>
    <n v="49.715168600847008"/>
    <n v="12.013430442325678"/>
    <n v="0.25119754279367817"/>
    <n v="0"/>
    <n v="0"/>
    <n v="0"/>
    <n v="0"/>
    <n v="0.53804844237124827"/>
    <m/>
    <n v="6.71116562939033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266026896372924"/>
    <n v="0"/>
    <n v="0"/>
    <n v="0"/>
    <n v="0"/>
    <n v="0"/>
    <m/>
    <m/>
    <m/>
    <m/>
    <m/>
    <m/>
    <m/>
    <m/>
    <m/>
    <n v="12.136090711289407"/>
    <m/>
    <m/>
    <m/>
    <m/>
    <m/>
    <m/>
    <m/>
    <m/>
    <m/>
    <m/>
    <m/>
    <m/>
    <n v="67.450199999999995"/>
    <n v="-16.337880000000027"/>
    <m/>
    <m/>
    <m/>
    <m/>
    <n v="-21.229649999999996"/>
    <n v="1.5492600000000005"/>
    <m/>
    <n v="2.1332249184482279"/>
    <n v="0"/>
    <n v="0"/>
    <n v="0"/>
    <n v="0"/>
    <n v="0"/>
    <n v="0"/>
    <n v="0"/>
    <n v="0.73123100093065574"/>
    <n v="0"/>
    <n v="0"/>
    <n v="1.5492306495119479"/>
    <n v="0"/>
    <n v="0"/>
    <n v="0"/>
    <n v="1.581805039520455E-2"/>
    <n v="0"/>
    <n v="-0.14157203042190236"/>
    <m/>
    <n v="0"/>
    <n v="0"/>
    <n v="0"/>
    <n v="0"/>
    <n v="-1.7107539997932353E-2"/>
    <n v="-4.3752119697513803E-3"/>
    <n v="0"/>
    <n v="0"/>
    <m/>
    <m/>
    <m/>
    <n v="49.715168600847008"/>
    <n v="0"/>
    <n v="0"/>
    <n v="-21.229649999999999"/>
    <n v="1.5492600000000003"/>
    <n v="0"/>
    <n v="0"/>
    <n v="-21.81363918987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8"/>
    <s v="Regular"/>
    <s v="Branca"/>
    <s v="B3"/>
    <s v="Comercial"/>
    <s v="Não se aplica"/>
    <s v="Não se aplica"/>
    <s v="Não se aplica"/>
    <s v="Fora ponta"/>
    <s v="CATIVO"/>
    <x v="3"/>
    <n v="0"/>
    <n v="0"/>
    <n v="0.747"/>
    <n v="0.747"/>
    <n v="0.747"/>
    <n v="0.747"/>
    <m/>
    <n v="309.91000000000003"/>
    <n v="215.17"/>
    <m/>
    <n v="392.23476000000005"/>
    <n v="392.23476000000005"/>
    <n v="355.34789999999998"/>
    <n v="0"/>
    <n v="45.631688776357841"/>
    <n v="0"/>
    <n v="0"/>
    <n v="0"/>
    <n v="46.027652792468587"/>
    <n v="130.30619702669208"/>
    <n v="157.43916737574179"/>
    <n v="3.2920099029276773"/>
    <n v="0"/>
    <n v="0"/>
    <n v="0"/>
    <n v="0"/>
    <n v="7.0512664289705693"/>
    <m/>
    <n v="0.87951591669378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0749510378782"/>
    <n v="0"/>
    <n v="0"/>
    <n v="0"/>
    <n v="0"/>
    <n v="0"/>
    <m/>
    <m/>
    <m/>
    <m/>
    <m/>
    <m/>
    <m/>
    <m/>
    <m/>
    <n v="159.0466624795296"/>
    <m/>
    <m/>
    <m/>
    <m/>
    <m/>
    <m/>
    <m/>
    <m/>
    <m/>
    <m/>
    <m/>
    <m/>
    <n v="356.77499999999998"/>
    <n v="-35.489760000000047"/>
    <m/>
    <m/>
    <m/>
    <m/>
    <n v="-57.190320000000021"/>
    <n v="20.303460000000005"/>
    <m/>
    <n v="20.289270575904254"/>
    <n v="0"/>
    <n v="0"/>
    <n v="0"/>
    <n v="0"/>
    <n v="0"/>
    <n v="0"/>
    <n v="0"/>
    <n v="1.9157713410687265"/>
    <n v="0"/>
    <n v="0"/>
    <n v="20.303075354130272"/>
    <n v="0"/>
    <n v="0"/>
    <n v="0"/>
    <n v="0.20729971307399642"/>
    <n v="0"/>
    <n v="-1.8553387144765097"/>
    <m/>
    <n v="0"/>
    <n v="0"/>
    <n v="0"/>
    <n v="0"/>
    <n v="-0.22419881365711358"/>
    <n v="-5.7338304235162618E-2"/>
    <n v="0"/>
    <n v="0"/>
    <m/>
    <m/>
    <m/>
    <n v="130.30619702669208"/>
    <n v="0"/>
    <n v="0"/>
    <n v="-57.190320000000042"/>
    <n v="20.303460000000001"/>
    <n v="0"/>
    <n v="0"/>
    <n v="-57.174750607143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29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9.7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30"/>
    <s v="Regular"/>
    <s v="Branca"/>
    <s v="B3"/>
    <s v="Comercial"/>
    <s v="Não se aplica"/>
    <s v="Não se aplica"/>
    <s v="Não se aplica"/>
    <s v="Intermediário"/>
    <s v="CATIVO"/>
    <x v="3"/>
    <n v="0"/>
    <n v="0"/>
    <n v="3.7999999999999999E-2"/>
    <n v="3.7999999999999999E-2"/>
    <n v="3.7999999999999999E-2"/>
    <n v="3.7999999999999999E-2"/>
    <m/>
    <n v="782.07"/>
    <n v="215.17"/>
    <m/>
    <n v="37.895119999999999"/>
    <n v="37.895119999999999"/>
    <n v="30.396579999999997"/>
    <n v="0"/>
    <n v="2.3212907275791137"/>
    <n v="0"/>
    <n v="0"/>
    <n v="0"/>
    <n v="7.0259780797712779"/>
    <n v="19.886064298190274"/>
    <n v="8.0089536282171174"/>
    <n v="0.16746502852911879"/>
    <n v="0"/>
    <n v="0"/>
    <n v="0"/>
    <n v="0"/>
    <n v="0.35869896158083214"/>
    <m/>
    <n v="4.474110419593557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773512642486154E-2"/>
    <n v="0"/>
    <n v="0"/>
    <n v="0"/>
    <n v="0"/>
    <n v="0"/>
    <m/>
    <m/>
    <m/>
    <m/>
    <m/>
    <m/>
    <m/>
    <m/>
    <m/>
    <n v="8.0907271408596042"/>
    <m/>
    <m/>
    <m/>
    <m/>
    <m/>
    <m/>
    <m/>
    <m/>
    <m/>
    <m/>
    <m/>
    <m/>
    <n v="31.996400000000001"/>
    <n v="-5.9287199999999984"/>
    <m/>
    <m/>
    <m/>
    <m/>
    <n v="-8.531380000000004"/>
    <n v="1.0328400000000002"/>
    <m/>
    <n v="1.2270991499674828"/>
    <n v="0"/>
    <n v="0"/>
    <n v="0"/>
    <n v="0"/>
    <n v="0"/>
    <n v="0"/>
    <n v="0"/>
    <n v="0.29243653828910254"/>
    <n v="0"/>
    <n v="0"/>
    <n v="1.0328204330079664"/>
    <n v="0"/>
    <n v="0"/>
    <n v="0"/>
    <n v="1.0545366930136371E-2"/>
    <n v="0"/>
    <n v="-9.4381353614601426E-2"/>
    <m/>
    <n v="0"/>
    <n v="0"/>
    <n v="0"/>
    <n v="0"/>
    <n v="-1.1405026665288198E-2"/>
    <n v="-2.9168079798342419E-3"/>
    <n v="0"/>
    <n v="0"/>
    <m/>
    <m/>
    <m/>
    <n v="19.886064298190274"/>
    <n v="0"/>
    <n v="0"/>
    <n v="-8.5313800000000022"/>
    <n v="1.0328400000000002"/>
    <n v="0"/>
    <n v="0"/>
    <n v="-8.7254542972637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1"/>
    <s v="Regular"/>
    <s v="Convencional"/>
    <s v="B2"/>
    <s v="Rural"/>
    <s v="Não se aplica"/>
    <s v="Não se aplica"/>
    <s v="Não se aplica"/>
    <s v="Não se aplica"/>
    <s v="CATIVO"/>
    <x v="3"/>
    <n v="0"/>
    <n v="0"/>
    <n v="530.64599999999996"/>
    <n v="530.64599999999996"/>
    <n v="530.64599999999996"/>
    <n v="530.64599999999996"/>
    <m/>
    <n v="415.98"/>
    <n v="215.17"/>
    <m/>
    <n v="334917.22289999999"/>
    <n v="334917.22289999999"/>
    <n v="291080.55683999998"/>
    <n v="0"/>
    <n v="32415.358932288058"/>
    <n v="0"/>
    <n v="0"/>
    <n v="0"/>
    <n v="47394.953887706637"/>
    <n v="134152.87622999676"/>
    <n v="111839.97913155002"/>
    <n v="2338.5433560227043"/>
    <n v="0"/>
    <n v="0"/>
    <n v="0"/>
    <n v="0"/>
    <n v="5009.0044517637434"/>
    <m/>
    <n v="624.78126255674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1.9154576232818"/>
    <n v="0"/>
    <n v="0"/>
    <n v="0"/>
    <n v="78200.97"/>
    <n v="1664"/>
    <m/>
    <m/>
    <m/>
    <m/>
    <m/>
    <n v="34927.119719999995"/>
    <m/>
    <m/>
    <m/>
    <n v="112981.8945891733"/>
    <m/>
    <m/>
    <m/>
    <m/>
    <m/>
    <m/>
    <m/>
    <m/>
    <m/>
    <m/>
    <m/>
    <m/>
    <n v="256155.36799999999"/>
    <n v="-38570.756859999994"/>
    <m/>
    <m/>
    <m/>
    <m/>
    <n v="-58259.624340000009"/>
    <n v="14422.958280000003"/>
    <m/>
    <n v="15024.654454948992"/>
    <n v="0"/>
    <n v="0"/>
    <n v="0"/>
    <n v="0"/>
    <n v="0"/>
    <n v="0"/>
    <n v="0"/>
    <n v="1972.6813960888903"/>
    <n v="0"/>
    <n v="0"/>
    <n v="14422.68503931434"/>
    <n v="0"/>
    <n v="0"/>
    <n v="0"/>
    <n v="147.25938894760907"/>
    <n v="0"/>
    <n v="-1317.9759939519427"/>
    <m/>
    <n v="0"/>
    <n v="0"/>
    <n v="0"/>
    <n v="0"/>
    <n v="-159.2639942060141"/>
    <n v="-40.731381243871624"/>
    <n v="0"/>
    <n v="0"/>
    <m/>
    <m/>
    <m/>
    <n v="134152.87622999676"/>
    <n v="0"/>
    <n v="0"/>
    <n v="-58259.624340000009"/>
    <n v="14422.958279999992"/>
    <n v="0"/>
    <n v="0"/>
    <n v="-58862.56691314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2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0.61599999999999999"/>
    <n v="-0.61599999999999999"/>
    <n v="-0.61599999999999999"/>
    <n v="-0.61599999999999999"/>
    <m/>
    <n v="415.98"/>
    <n v="215.17"/>
    <m/>
    <n v="-388.78839999999997"/>
    <n v="-388.78839999999997"/>
    <n v="-337.90063999999995"/>
    <n v="0"/>
    <n v="-37.629344426019316"/>
    <n v="0"/>
    <n v="0"/>
    <n v="0"/>
    <n v="-55.018395681541541"/>
    <n v="-155.73126294681956"/>
    <n v="-129.82935355215119"/>
    <n v="-2.714696251945715"/>
    <n v="0"/>
    <n v="0"/>
    <n v="0"/>
    <n v="0"/>
    <n v="-5.8146989561524371"/>
    <m/>
    <n v="-0.72527684696569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325591678625565"/>
    <n v="0"/>
    <n v="0"/>
    <n v="0"/>
    <n v="-64.58"/>
    <n v="0"/>
    <m/>
    <m/>
    <m/>
    <m/>
    <m/>
    <n v="-40.545119999999997"/>
    <m/>
    <m/>
    <m/>
    <n v="-131.15494523077675"/>
    <m/>
    <m/>
    <m/>
    <m/>
    <m/>
    <m/>
    <m/>
    <m/>
    <m/>
    <m/>
    <m/>
    <m/>
    <n v="-299.28640000000001"/>
    <n v="42.816160000000025"/>
    <m/>
    <m/>
    <m/>
    <m/>
    <n v="67.630640000000014"/>
    <n v="-16.742880000000003"/>
    <m/>
    <n v="-17.441358540813638"/>
    <n v="0"/>
    <n v="0"/>
    <n v="0"/>
    <n v="0"/>
    <n v="0"/>
    <n v="0"/>
    <n v="0"/>
    <n v="-2.2899856778167589"/>
    <n v="0"/>
    <n v="0"/>
    <n v="-16.742562808760709"/>
    <n v="0"/>
    <n v="0"/>
    <n v="0"/>
    <n v="-0.17094594813063169"/>
    <n v="0"/>
    <n v="1.5299714164893317"/>
    <m/>
    <n v="0"/>
    <n v="0"/>
    <n v="0"/>
    <n v="0"/>
    <n v="0.18488148488993517"/>
    <n v="4.7282992515207845E-2"/>
    <n v="0"/>
    <n v="0"/>
    <m/>
    <m/>
    <m/>
    <n v="-155.73126294681956"/>
    <n v="0"/>
    <n v="0"/>
    <n v="67.63064"/>
    <n v="-16.742880000000014"/>
    <n v="0"/>
    <n v="0"/>
    <n v="68.330565421198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3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1.766"/>
    <n v="11.766"/>
    <n v="11.766"/>
    <n v="11.766"/>
    <m/>
    <n v="415.98"/>
    <n v="215.17"/>
    <m/>
    <n v="7426.1108999999997"/>
    <n v="7426.1108999999997"/>
    <n v="6454.1216399999994"/>
    <n v="0"/>
    <n v="718.74491317620664"/>
    <n v="0"/>
    <n v="0"/>
    <n v="0"/>
    <n v="1050.8870837484055"/>
    <n v="2974.568246480972"/>
    <n v="2479.8249576211215"/>
    <n v="51.852461201937146"/>
    <n v="0"/>
    <n v="0"/>
    <n v="0"/>
    <n v="0"/>
    <n v="111.0645258410545"/>
    <m/>
    <n v="13.853258736036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319661835565583"/>
    <n v="0"/>
    <n v="0"/>
    <n v="0"/>
    <n v="3315.56"/>
    <n v="21"/>
    <m/>
    <m/>
    <m/>
    <m/>
    <m/>
    <n v="774.43812000000003"/>
    <m/>
    <m/>
    <m/>
    <n v="2505.144619456687"/>
    <m/>
    <m/>
    <m/>
    <m/>
    <m/>
    <m/>
    <m/>
    <m/>
    <m/>
    <m/>
    <m/>
    <m/>
    <n v="5681.6143999999995"/>
    <n v="-853.3696600000012"/>
    <m/>
    <m/>
    <m/>
    <m/>
    <n v="-1291.7891400000003"/>
    <n v="319.79988000000009"/>
    <m/>
    <n v="333.1412736870343"/>
    <n v="0"/>
    <n v="0"/>
    <n v="0"/>
    <n v="0"/>
    <n v="0"/>
    <n v="0"/>
    <n v="0"/>
    <n v="43.740213449986868"/>
    <n v="0"/>
    <n v="0"/>
    <n v="319.79382144136116"/>
    <n v="0"/>
    <n v="0"/>
    <n v="0"/>
    <n v="3.265178613157488"/>
    <n v="0"/>
    <n v="-29.223447542879057"/>
    <m/>
    <n v="0"/>
    <n v="0"/>
    <n v="0"/>
    <n v="0"/>
    <n v="-3.5313564143100251"/>
    <n v="-0.90313586028236159"/>
    <n v="0"/>
    <n v="0"/>
    <m/>
    <m/>
    <m/>
    <n v="2974.568246480972"/>
    <n v="0"/>
    <n v="0"/>
    <n v="-1291.7891400000003"/>
    <n v="319.79988000000003"/>
    <n v="0"/>
    <n v="0"/>
    <n v="-1305.1581700419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4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33.453000000000003"/>
    <n v="33.453000000000003"/>
    <n v="33.453000000000003"/>
    <n v="33.453000000000003"/>
    <m/>
    <n v="415.98"/>
    <n v="215.17"/>
    <m/>
    <n v="21113.860950000002"/>
    <n v="21113.860950000002"/>
    <n v="18350.30862"/>
    <n v="0"/>
    <n v="2043.5299660448447"/>
    <n v="0"/>
    <n v="0"/>
    <n v="0"/>
    <n v="2987.8740109328073"/>
    <n v="8457.2693820778495"/>
    <n v="7050.6190980196652"/>
    <n v="147.42651577327925"/>
    <n v="0"/>
    <n v="0"/>
    <n v="0"/>
    <n v="0"/>
    <n v="315.77779899377839"/>
    <m/>
    <n v="39.387477859648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988666274449727"/>
    <n v="0"/>
    <n v="0"/>
    <n v="0"/>
    <n v="6517.97"/>
    <n v="48"/>
    <m/>
    <m/>
    <m/>
    <m/>
    <m/>
    <m/>
    <m/>
    <m/>
    <m/>
    <n v="7122.6077642941145"/>
    <m/>
    <m/>
    <m/>
    <m/>
    <m/>
    <m/>
    <m/>
    <m/>
    <m/>
    <m/>
    <m/>
    <m/>
    <n v="18348.663"/>
    <n v="-2765.2279500000004"/>
    <m/>
    <m/>
    <m/>
    <m/>
    <n v="-3672.8048700000008"/>
    <n v="909.25254000000029"/>
    <m/>
    <n v="947.18468711986679"/>
    <n v="0"/>
    <n v="0"/>
    <n v="0"/>
    <n v="0"/>
    <n v="0"/>
    <n v="0"/>
    <n v="0"/>
    <n v="124.36183584416267"/>
    <n v="0"/>
    <n v="0"/>
    <n v="909.23531435303903"/>
    <n v="0"/>
    <n v="0"/>
    <n v="0"/>
    <n v="9.2835305240487429"/>
    <n v="0"/>
    <n v="-83.087879538664993"/>
    <m/>
    <n v="0"/>
    <n v="0"/>
    <n v="0"/>
    <n v="0"/>
    <n v="-10.04032518510229"/>
    <n v="-2.5677888776156621"/>
    <n v="0"/>
    <n v="0"/>
    <m/>
    <m/>
    <m/>
    <n v="8457.2693820778495"/>
    <n v="0"/>
    <n v="0"/>
    <n v="-3672.8048700000018"/>
    <n v="909.25254000000041"/>
    <n v="0"/>
    <n v="0"/>
    <n v="-3710.8155925898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5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94.962000000000003"/>
    <n v="94.962000000000003"/>
    <n v="94.962000000000003"/>
    <n v="94.962000000000003"/>
    <m/>
    <n v="228.79"/>
    <n v="118.34"/>
    <m/>
    <n v="32964.159060000005"/>
    <n v="32964.159060000005"/>
    <n v="28649.085780000001"/>
    <n v="0"/>
    <n v="3190.4980405211072"/>
    <n v="0"/>
    <n v="0"/>
    <n v="0"/>
    <n v="4664.8722238487089"/>
    <n v="13204.064457103486"/>
    <n v="11007.906314302967"/>
    <n v="230.17230846184776"/>
    <n v="0"/>
    <n v="0"/>
    <n v="0"/>
    <n v="0"/>
    <n v="493.01378774477519"/>
    <m/>
    <n v="61.494410662103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39360445146453"/>
    <n v="0"/>
    <n v="0"/>
    <n v="0"/>
    <n v="14043.74"/>
    <n v="88"/>
    <m/>
    <m/>
    <m/>
    <m/>
    <m/>
    <m/>
    <m/>
    <m/>
    <m/>
    <n v="11120.299918754432"/>
    <m/>
    <m/>
    <m/>
    <m/>
    <m/>
    <m/>
    <m/>
    <m/>
    <m/>
    <m/>
    <m/>
    <m/>
    <n v="28648.482399999997"/>
    <n v="-4315.7066599999998"/>
    <m/>
    <m/>
    <m/>
    <m/>
    <n v="-5734.7551799999992"/>
    <n v="1419.6818999999989"/>
    <m/>
    <n v="1478.8091872792975"/>
    <n v="0"/>
    <n v="0"/>
    <n v="0"/>
    <n v="0"/>
    <n v="0"/>
    <n v="0"/>
    <n v="0"/>
    <n v="194.16216065788285"/>
    <n v="0"/>
    <n v="0"/>
    <n v="1419.5600441478582"/>
    <n v="0"/>
    <n v="0"/>
    <n v="0"/>
    <n v="14.494079577126797"/>
    <n v="0"/>
    <n v="-129.72245147558351"/>
    <m/>
    <n v="0"/>
    <n v="0"/>
    <n v="0"/>
    <n v="0"/>
    <n v="-15.675638900106037"/>
    <n v="-4.0090067278833672"/>
    <n v="0"/>
    <n v="0"/>
    <m/>
    <m/>
    <m/>
    <n v="13204.064457103486"/>
    <n v="0"/>
    <n v="0"/>
    <n v="-5734.7551799999983"/>
    <n v="1419.6818999999978"/>
    <n v="0"/>
    <n v="0"/>
    <n v="-5793.577815649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6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22.574000000000002"/>
    <n v="21.219560000000001"/>
    <n v="22.574000000000002"/>
    <n v="21.219560000000001"/>
    <m/>
    <n v="415.98"/>
    <n v="215.17"/>
    <m/>
    <n v="14247.580100000003"/>
    <n v="14247.580100000003"/>
    <n v="12382.741959999999"/>
    <n v="0"/>
    <n v="1378.968865378182"/>
    <n v="0"/>
    <n v="0"/>
    <n v="0"/>
    <n v="2016.2098443427253"/>
    <n v="5706.944041820625"/>
    <n v="4757.7399790361378"/>
    <n v="99.483040895166525"/>
    <n v="0"/>
    <n v="0"/>
    <n v="0"/>
    <n v="0"/>
    <n v="213.08606207172912"/>
    <m/>
    <n v="26.578570687343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57777037872323"/>
    <n v="0"/>
    <n v="0"/>
    <n v="0"/>
    <n v="5196.04"/>
    <n v="4"/>
    <m/>
    <m/>
    <m/>
    <m/>
    <n v="742.96451760000014"/>
    <m/>
    <m/>
    <m/>
    <m/>
    <n v="4806.3177494148613"/>
    <m/>
    <m/>
    <m/>
    <m/>
    <m/>
    <m/>
    <m/>
    <m/>
    <m/>
    <m/>
    <m/>
    <m/>
    <n v="11640.018799999998"/>
    <n v="-1752.7364940000025"/>
    <m/>
    <m/>
    <m/>
    <m/>
    <n v="-2478.3994600000005"/>
    <n v="613.56132000000025"/>
    <m/>
    <n v="639.15783717585691"/>
    <n v="0"/>
    <n v="0"/>
    <n v="0"/>
    <n v="0"/>
    <n v="0"/>
    <n v="0"/>
    <n v="0"/>
    <n v="83.919053069862912"/>
    <n v="0"/>
    <n v="0"/>
    <n v="613.54969617689039"/>
    <n v="0"/>
    <n v="0"/>
    <n v="0"/>
    <n v="6.2645029758131159"/>
    <n v="0"/>
    <n v="-56.067491486737254"/>
    <m/>
    <n v="0"/>
    <n v="0"/>
    <n v="0"/>
    <n v="0"/>
    <n v="-6.7751861037425556"/>
    <n v="-1.7327374562310069"/>
    <n v="0"/>
    <n v="0"/>
    <m/>
    <m/>
    <m/>
    <n v="5706.944041820625"/>
    <n v="0"/>
    <n v="0"/>
    <n v="-2478.3994600000015"/>
    <n v="613.5613199999998"/>
    <n v="0"/>
    <n v="0"/>
    <n v="-2504.0489997047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7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415.98"/>
    <n v="215.17"/>
    <m/>
    <n v="2207.1315500000001"/>
    <n v="2207.1315500000001"/>
    <n v="1918.2443799999999"/>
    <n v="0"/>
    <n v="213.61983353537263"/>
    <n v="0"/>
    <n v="0"/>
    <n v="0"/>
    <n v="312.33657418563433"/>
    <n v="884.07828981335706"/>
    <n v="737.03449573355954"/>
    <n v="15.411189599113904"/>
    <n v="0"/>
    <n v="0"/>
    <n v="0"/>
    <n v="0"/>
    <n v="33.009743911793947"/>
    <m/>
    <n v="4.1173589835049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5253150976519496"/>
    <n v="0"/>
    <n v="0"/>
    <n v="0"/>
    <n v="804.93"/>
    <n v="1"/>
    <m/>
    <m/>
    <m/>
    <m/>
    <m/>
    <m/>
    <m/>
    <m/>
    <m/>
    <n v="744.55981083121151"/>
    <m/>
    <m/>
    <m/>
    <m/>
    <m/>
    <m/>
    <m/>
    <m/>
    <m/>
    <m/>
    <m/>
    <m/>
    <n v="1919.8899999999999"/>
    <n v="-287.27155000000039"/>
    <m/>
    <m/>
    <m/>
    <m/>
    <n v="-383.93563000000006"/>
    <n v="95.04846000000002"/>
    <m/>
    <n v="99.013686391599549"/>
    <n v="0"/>
    <n v="0"/>
    <n v="0"/>
    <n v="0"/>
    <n v="0"/>
    <n v="0"/>
    <n v="0"/>
    <n v="13.000129732670814"/>
    <n v="0"/>
    <n v="0"/>
    <n v="95.046659321811944"/>
    <n v="0"/>
    <n v="0"/>
    <n v="0"/>
    <n v="0.97045126722860253"/>
    <n v="0"/>
    <n v="-8.6855682523753046"/>
    <m/>
    <n v="0"/>
    <n v="0"/>
    <n v="0"/>
    <n v="0"/>
    <n v="-1.0495625854871804"/>
    <n v="-0.26842309224948258"/>
    <n v="0"/>
    <n v="0"/>
    <m/>
    <m/>
    <m/>
    <n v="884.07828981335706"/>
    <n v="0"/>
    <n v="0"/>
    <n v="-383.93563000000017"/>
    <n v="95.048459999999977"/>
    <n v="0"/>
    <n v="0"/>
    <n v="-387.90907025637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38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21.33"/>
    <n v="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39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3.8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40"/>
    <s v="Regular"/>
    <s v="Convencional"/>
    <s v="B2"/>
    <s v="Rural"/>
    <s v="Agropecuária rural"/>
    <s v="IRRIG./AQUIC."/>
    <s v="Não se aplica"/>
    <s v="Não se aplica"/>
    <s v="CATIVO"/>
    <x v="3"/>
    <n v="0"/>
    <n v="0"/>
    <n v="8.4139999999999997"/>
    <n v="8.4139999999999997"/>
    <n v="8.4139999999999997"/>
    <n v="8.4139999999999997"/>
    <m/>
    <n v="415.98"/>
    <n v="215.17"/>
    <m/>
    <n v="5310.4960999999994"/>
    <n v="5310.4960999999994"/>
    <n v="4615.4155599999995"/>
    <n v="0"/>
    <n v="513.9826363644911"/>
    <n v="0"/>
    <n v="0"/>
    <n v="0"/>
    <n v="751.50126828651059"/>
    <n v="2127.1474779781488"/>
    <n v="1773.3509428373377"/>
    <n v="37.080282895894875"/>
    <n v="0"/>
    <n v="0"/>
    <n v="0"/>
    <n v="0"/>
    <n v="79.423501651082148"/>
    <m/>
    <n v="9.9066223869632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6377246681014"/>
    <n v="0"/>
    <n v="0"/>
    <n v="0"/>
    <n v="0"/>
    <n v="0"/>
    <m/>
    <m/>
    <m/>
    <m/>
    <m/>
    <n v="553.80947999999989"/>
    <m/>
    <m/>
    <m/>
    <n v="1791.4573200840186"/>
    <m/>
    <m/>
    <m/>
    <m/>
    <m/>
    <m/>
    <m/>
    <m/>
    <m/>
    <m/>
    <m/>
    <m/>
    <n v="4059.6751999999997"/>
    <n v="-613.57454000000052"/>
    <m/>
    <m/>
    <m/>
    <m/>
    <n v="-923.7730600000001"/>
    <n v="228.69252000000006"/>
    <m/>
    <n v="238.23310188702271"/>
    <n v="0"/>
    <n v="0"/>
    <n v="0"/>
    <n v="0"/>
    <n v="0"/>
    <n v="0"/>
    <n v="0"/>
    <n v="31.279122553815228"/>
    <n v="0"/>
    <n v="0"/>
    <n v="228.68818745602698"/>
    <n v="0"/>
    <n v="0"/>
    <n v="0"/>
    <n v="2.3349662460570357"/>
    <n v="0"/>
    <n v="-20.898018666138341"/>
    <m/>
    <n v="0"/>
    <n v="0"/>
    <n v="0"/>
    <n v="0"/>
    <n v="-2.525313009519337"/>
    <n v="-0.64584269321908927"/>
    <n v="0"/>
    <n v="0"/>
    <m/>
    <m/>
    <m/>
    <n v="2127.1474779781488"/>
    <n v="0"/>
    <n v="0"/>
    <n v="-923.77305999999999"/>
    <n v="228.69252000000006"/>
    <n v="0"/>
    <n v="0"/>
    <n v="-933.33340495772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1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.26500000000000001"/>
    <n v="0.26500000000000001"/>
    <n v="0.26500000000000001"/>
    <n v="0.26500000000000001"/>
    <m/>
    <n v="415.98"/>
    <n v="215.17"/>
    <m/>
    <n v="167.25475"/>
    <n v="167.25475"/>
    <n v="145.3631"/>
    <n v="0"/>
    <n v="16.18794849495961"/>
    <n v="0"/>
    <n v="0"/>
    <n v="0"/>
    <n v="23.668628012351476"/>
    <n v="66.994780326148032"/>
    <n v="55.851913459935169"/>
    <n v="1.1678482252688547"/>
    <n v="0"/>
    <n v="0"/>
    <n v="0"/>
    <n v="0"/>
    <n v="2.5014532847084352"/>
    <m/>
    <n v="0.31201033189270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7026265395417985"/>
    <n v="0"/>
    <n v="0"/>
    <n v="0"/>
    <n v="0"/>
    <n v="0"/>
    <m/>
    <m/>
    <m/>
    <m/>
    <m/>
    <n v="17.442299999999999"/>
    <m/>
    <m/>
    <m/>
    <n v="56.42217611388935"/>
    <m/>
    <m/>
    <m/>
    <m/>
    <m/>
    <m/>
    <m/>
    <m/>
    <m/>
    <m/>
    <m/>
    <m/>
    <n v="130.33440000000002"/>
    <n v="-16.879250000000013"/>
    <m/>
    <m/>
    <m/>
    <m/>
    <n v="-29.094350000000006"/>
    <n v="7.2027000000000019"/>
    <m/>
    <n v="7.5031818397980743"/>
    <n v="0"/>
    <n v="0"/>
    <n v="0"/>
    <n v="0"/>
    <n v="0"/>
    <n v="0"/>
    <n v="0"/>
    <n v="0.98513994256727599"/>
    <n v="0"/>
    <n v="0"/>
    <n v="7.2025635459766022"/>
    <n v="0"/>
    <n v="0"/>
    <n v="0"/>
    <n v="7.3540058854898338E-2"/>
    <n v="0"/>
    <n v="-0.65818575547024771"/>
    <m/>
    <n v="0"/>
    <n v="0"/>
    <n v="0"/>
    <n v="0"/>
    <n v="-7.9535054376352221E-2"/>
    <n v="-2.0340897754107246E-2"/>
    <n v="0"/>
    <n v="0"/>
    <m/>
    <m/>
    <m/>
    <n v="66.994780326148032"/>
    <n v="0"/>
    <n v="0"/>
    <n v="-29.094350000000006"/>
    <n v="7.2027000000000072"/>
    <n v="0"/>
    <n v="0"/>
    <n v="-29.395454280223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7.0330000000000004"/>
    <n v="2.8132000000000001"/>
    <n v="7.0330000000000004"/>
    <n v="2.8132000000000001"/>
    <m/>
    <n v="415.98"/>
    <n v="215.17"/>
    <m/>
    <n v="4438.8779500000001"/>
    <n v="4438.8779500000001"/>
    <n v="3857.8818200000005"/>
    <n v="0"/>
    <n v="429.62204439641863"/>
    <n v="0"/>
    <n v="0"/>
    <n v="0"/>
    <n v="628.1564558900676"/>
    <n v="1778.0161888067889"/>
    <n v="1482.2887070329209"/>
    <n v="30.994251201191908"/>
    <n v="0"/>
    <n v="0"/>
    <n v="0"/>
    <n v="0"/>
    <n v="66.387626231526127"/>
    <m/>
    <n v="8.2806364686846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134555642489609"/>
    <n v="0"/>
    <n v="0"/>
    <n v="0"/>
    <n v="0"/>
    <n v="0"/>
    <m/>
    <m/>
    <m/>
    <m/>
    <m/>
    <m/>
    <n v="2499.893916"/>
    <m/>
    <m/>
    <n v="1497.4232626754106"/>
    <m/>
    <m/>
    <m/>
    <m/>
    <m/>
    <m/>
    <m/>
    <m/>
    <m/>
    <m/>
    <m/>
    <m/>
    <n v="1356.4432000000002"/>
    <n v="-206.06621199999995"/>
    <m/>
    <m/>
    <m/>
    <m/>
    <n v="-772.15307000000018"/>
    <n v="191.15694000000005"/>
    <m/>
    <n v="199.13161463886809"/>
    <n v="0"/>
    <n v="0"/>
    <n v="0"/>
    <n v="0"/>
    <n v="0"/>
    <n v="0"/>
    <n v="0"/>
    <n v="26.145242324813807"/>
    <n v="0"/>
    <n v="0"/>
    <n v="191.1533185617111"/>
    <n v="0"/>
    <n v="0"/>
    <n v="0"/>
    <n v="1.9517254110433981"/>
    <n v="0"/>
    <n v="-17.468001578197175"/>
    <m/>
    <n v="0"/>
    <n v="0"/>
    <n v="0"/>
    <n v="0"/>
    <n v="-2.1108303299203186"/>
    <n v="-0.53983975058353195"/>
    <n v="0"/>
    <n v="0"/>
    <m/>
    <m/>
    <m/>
    <n v="1778.0161888067889"/>
    <n v="0"/>
    <n v="0"/>
    <n v="-772.1530700000003"/>
    <n v="191.15694000000008"/>
    <n v="0"/>
    <n v="0"/>
    <n v="-780.14426397286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3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112"/>
    <n v="4.48E-2"/>
    <n v="0.112"/>
    <n v="4.48E-2"/>
    <m/>
    <n v="415.98"/>
    <n v="215.17"/>
    <m/>
    <n v="70.688800000000001"/>
    <n v="70.688800000000001"/>
    <n v="61.436480000000003"/>
    <n v="0"/>
    <n v="6.841698986548967"/>
    <n v="0"/>
    <n v="0"/>
    <n v="0"/>
    <n v="10.00334466937119"/>
    <n v="28.314775081239919"/>
    <n v="23.605337009482035"/>
    <n v="0.49358113671740272"/>
    <n v="0"/>
    <n v="0"/>
    <n v="0"/>
    <n v="0"/>
    <n v="1.0572179920277158"/>
    <m/>
    <n v="0.13186851763012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4101666884101183"/>
    <n v="0"/>
    <n v="0"/>
    <n v="0"/>
    <n v="0"/>
    <n v="0"/>
    <m/>
    <m/>
    <m/>
    <m/>
    <m/>
    <m/>
    <n v="39.810624000000004"/>
    <m/>
    <m/>
    <n v="23.846353678323048"/>
    <m/>
    <m/>
    <m/>
    <m/>
    <m/>
    <m/>
    <m/>
    <m/>
    <m/>
    <m/>
    <m/>
    <m/>
    <n v="19.308800000000002"/>
    <n v="-5.6035680000000028"/>
    <m/>
    <m/>
    <m/>
    <m/>
    <n v="-12.296480000000003"/>
    <n v="3.0441600000000006"/>
    <m/>
    <n v="3.171156098329746"/>
    <n v="0"/>
    <n v="0"/>
    <n v="0"/>
    <n v="0"/>
    <n v="0"/>
    <n v="0"/>
    <n v="0"/>
    <n v="0.41636103233031996"/>
    <n v="0"/>
    <n v="0"/>
    <n v="3.0441023288655806"/>
    <n v="0"/>
    <n v="0"/>
    <n v="0"/>
    <n v="3.1081081478296663E-2"/>
    <n v="0"/>
    <n v="-0.2781766211798784"/>
    <m/>
    <n v="0"/>
    <n v="0"/>
    <n v="0"/>
    <n v="0"/>
    <n v="-3.3614815434533707E-2"/>
    <n v="-8.5969077300377672E-3"/>
    <n v="0"/>
    <n v="0"/>
    <m/>
    <m/>
    <m/>
    <n v="28.314775081239919"/>
    <n v="0"/>
    <n v="0"/>
    <n v="-12.296480000000003"/>
    <n v="3.0441600000000015"/>
    <n v="0"/>
    <n v="0"/>
    <n v="-12.423739167490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4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95.1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45"/>
    <s v="Regular"/>
    <s v="Convencional"/>
    <s v="B2"/>
    <s v="Rural"/>
    <s v="Aquicultura"/>
    <s v="IRRIG./AQUIC."/>
    <s v="Não se aplica"/>
    <s v="Não se aplica"/>
    <s v="CATIVO"/>
    <x v="3"/>
    <n v="0"/>
    <n v="0"/>
    <n v="0.35299999999999998"/>
    <n v="0.35299999999999998"/>
    <n v="0.35299999999999998"/>
    <n v="0.35299999999999998"/>
    <m/>
    <n v="415.98"/>
    <n v="215.17"/>
    <m/>
    <n v="222.79594999999998"/>
    <n v="222.79594999999998"/>
    <n v="193.63461999999998"/>
    <n v="0"/>
    <n v="21.56356912724808"/>
    <n v="0"/>
    <n v="0"/>
    <n v="0"/>
    <n v="31.528398824000263"/>
    <n v="89.242103604265097"/>
    <n v="74.398963967385328"/>
    <n v="1.555661975546814"/>
    <n v="0"/>
    <n v="0"/>
    <n v="0"/>
    <n v="0"/>
    <n v="3.3321245641587827"/>
    <m/>
    <n v="0.41562131003066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5963289375783183"/>
    <n v="0"/>
    <n v="0"/>
    <n v="0"/>
    <n v="0"/>
    <n v="0"/>
    <m/>
    <m/>
    <m/>
    <m/>
    <m/>
    <n v="23.234459999999995"/>
    <m/>
    <m/>
    <m/>
    <n v="75.158596861143153"/>
    <m/>
    <m/>
    <m/>
    <m/>
    <m/>
    <m/>
    <m/>
    <m/>
    <m/>
    <m/>
    <m/>
    <m/>
    <n v="168.952"/>
    <n v="-27.137729999999976"/>
    <m/>
    <m/>
    <m/>
    <m/>
    <n v="-38.755870000000002"/>
    <n v="9.5945400000000021"/>
    <m/>
    <n v="9.9948044884857268"/>
    <n v="0"/>
    <n v="0"/>
    <n v="0"/>
    <n v="0"/>
    <n v="0"/>
    <n v="0"/>
    <n v="0"/>
    <n v="1.3122807536839574"/>
    <n v="0"/>
    <n v="0"/>
    <n v="9.594358232942426"/>
    <n v="0"/>
    <n v="0"/>
    <n v="0"/>
    <n v="9.7960908587845785E-2"/>
    <n v="0"/>
    <n v="-0.8767531006830076"/>
    <m/>
    <n v="0"/>
    <n v="0"/>
    <n v="0"/>
    <n v="0"/>
    <n v="-0.10594669507491439"/>
    <n v="-2.7095610970565509E-2"/>
    <n v="0"/>
    <n v="0"/>
    <m/>
    <m/>
    <m/>
    <n v="89.242103604265097"/>
    <n v="0"/>
    <n v="0"/>
    <n v="-38.755870000000002"/>
    <n v="9.5945400000000092"/>
    <n v="0"/>
    <n v="0"/>
    <n v="-39.156963626108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6"/>
    <s v="Regular"/>
    <s v="Convencional"/>
    <s v="B2"/>
    <s v="Rural"/>
    <s v="Aquicultura"/>
    <s v="IRRIG./AQUIC. PR"/>
    <s v="Não se aplica"/>
    <s v="Não se aplica"/>
    <s v="CATIVO"/>
    <x v="3"/>
    <n v="0"/>
    <n v="0"/>
    <n v="2.3889999999999998"/>
    <n v="0.9556"/>
    <n v="2.3889999999999998"/>
    <n v="0.9556"/>
    <m/>
    <n v="415.98"/>
    <n v="215.17"/>
    <m/>
    <n v="1507.8173499999998"/>
    <n v="1507.8173499999998"/>
    <n v="1310.4620599999998"/>
    <n v="0"/>
    <n v="145.9358828470132"/>
    <n v="0"/>
    <n v="0"/>
    <n v="0"/>
    <n v="213.37491442078365"/>
    <n v="603.96426490251929"/>
    <n v="503.51026888975514"/>
    <n v="10.528261925159597"/>
    <n v="0"/>
    <n v="0"/>
    <n v="0"/>
    <n v="0"/>
    <n v="22.550837347805473"/>
    <m/>
    <n v="2.8128025769497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409716237605112"/>
    <n v="0"/>
    <n v="0"/>
    <n v="0"/>
    <n v="0"/>
    <n v="0"/>
    <m/>
    <m/>
    <m/>
    <m/>
    <m/>
    <m/>
    <n v="849.17482799999993"/>
    <m/>
    <m/>
    <n v="508.65124051351563"/>
    <m/>
    <m/>
    <m/>
    <m/>
    <m/>
    <m/>
    <m/>
    <m/>
    <m/>
    <m/>
    <m/>
    <m/>
    <n v="463.41120000000001"/>
    <n v="-67.368596000000025"/>
    <m/>
    <m/>
    <m/>
    <m/>
    <n v="-262.28831000000002"/>
    <n v="64.933020000000013"/>
    <m/>
    <n v="67.641892133123065"/>
    <n v="0"/>
    <n v="0"/>
    <n v="0"/>
    <n v="0"/>
    <n v="0"/>
    <n v="0"/>
    <n v="0"/>
    <n v="8.8811295199744222"/>
    <n v="0"/>
    <n v="0"/>
    <n v="64.931789854106"/>
    <n v="0"/>
    <n v="0"/>
    <n v="0"/>
    <n v="0.66297056831830936"/>
    <n v="0"/>
    <n v="-5.9336066785600678"/>
    <m/>
    <n v="0"/>
    <n v="0"/>
    <n v="0"/>
    <n v="0"/>
    <n v="-0.7170160185098311"/>
    <n v="-0.18337511220589464"/>
    <n v="0"/>
    <n v="0"/>
    <m/>
    <m/>
    <m/>
    <n v="603.96426490251929"/>
    <n v="0"/>
    <n v="0"/>
    <n v="-262.28831000000002"/>
    <n v="64.933019999999942"/>
    <n v="0"/>
    <n v="0"/>
    <n v="-265.00279349227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7"/>
    <s v="Regular"/>
    <s v="Convencional"/>
    <s v="B1"/>
    <s v="Residencial"/>
    <s v="Residencial"/>
    <s v="Não se aplica"/>
    <s v="Não se aplica"/>
    <s v="Não se aplica"/>
    <s v="CATIVO"/>
    <x v="4"/>
    <n v="0"/>
    <n v="0"/>
    <n v="520.61"/>
    <n v="520.61"/>
    <n v="520.61"/>
    <n v="520.61"/>
    <m/>
    <n v="415.98"/>
    <n v="215.17"/>
    <m/>
    <n v="328583.00150000001"/>
    <n v="328583.00150000001"/>
    <n v="285575.4094"/>
    <n v="0"/>
    <n v="31802.293833814801"/>
    <n v="0"/>
    <n v="0"/>
    <n v="0"/>
    <n v="46498.582752869064"/>
    <n v="131615.67013432423"/>
    <n v="109724.77232595037"/>
    <n v="2294.3149605932772"/>
    <n v="0"/>
    <n v="0"/>
    <n v="0"/>
    <n v="0"/>
    <n v="4914.2701681209746"/>
    <m/>
    <n v="612.96490145910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0.3186425474926"/>
    <n v="0"/>
    <n v="0"/>
    <n v="0"/>
    <n v="73470.83"/>
    <n v="2846"/>
    <m/>
    <m/>
    <m/>
    <m/>
    <m/>
    <m/>
    <m/>
    <m/>
    <m/>
    <n v="110845.09096849787"/>
    <m/>
    <m/>
    <m/>
    <m/>
    <m/>
    <m/>
    <m/>
    <m/>
    <m/>
    <m/>
    <m/>
    <m/>
    <n v="285575.4094"/>
    <n v="-43007.622100000037"/>
    <m/>
    <m/>
    <m/>
    <m/>
    <n v="-57157.771900000014"/>
    <n v="14150.179800000004"/>
    <n v="31"/>
    <n v="14740.496217423672"/>
    <n v="0"/>
    <n v="0"/>
    <n v="0"/>
    <n v="0"/>
    <n v="0"/>
    <n v="0"/>
    <n v="0"/>
    <n v="1935.3724735847136"/>
    <n v="0"/>
    <n v="0"/>
    <n v="14149.911727059924"/>
    <n v="0"/>
    <n v="0"/>
    <n v="0"/>
    <n v="144.47430203942895"/>
    <n v="0"/>
    <n v="-1293.0493817183633"/>
    <m/>
    <n v="0"/>
    <n v="0"/>
    <n v="0"/>
    <n v="0"/>
    <n v="-156.25186663725526"/>
    <n v="-39.961036904776506"/>
    <n v="0"/>
    <n v="0"/>
    <m/>
    <m/>
    <m/>
    <n v="131615.67013432423"/>
    <n v="0"/>
    <n v="0"/>
    <n v="-57157.771900000022"/>
    <n v="14150.179799999998"/>
    <n v="0"/>
    <n v="0"/>
    <n v="-57749.311142743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8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.0299999999999998"/>
    <n v="2.0299999999999998"/>
    <n v="2.0299999999999998"/>
    <n v="2.0299999999999998"/>
    <m/>
    <n v="415.98"/>
    <n v="215.17"/>
    <m/>
    <n v="1281.2345"/>
    <n v="1281.2345"/>
    <n v="1113.5361999999998"/>
    <n v="0"/>
    <n v="124.00579413120001"/>
    <n v="0"/>
    <n v="0"/>
    <n v="0"/>
    <n v="181.31062213235279"/>
    <n v="513.20529834747344"/>
    <n v="427.84673329686183"/>
    <n v="8.946158103002924"/>
    <n v="0"/>
    <n v="0"/>
    <n v="0"/>
    <n v="0"/>
    <n v="19.162076105502347"/>
    <m/>
    <n v="2.39011688204603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684271227433387"/>
    <n v="0"/>
    <n v="0"/>
    <n v="0"/>
    <n v="786.54"/>
    <n v="19"/>
    <m/>
    <m/>
    <m/>
    <m/>
    <m/>
    <m/>
    <m/>
    <m/>
    <m/>
    <n v="432.21516041960518"/>
    <m/>
    <m/>
    <m/>
    <m/>
    <m/>
    <m/>
    <m/>
    <m/>
    <m/>
    <m/>
    <m/>
    <m/>
    <n v="1113.5361999999998"/>
    <n v="-167.72830000000022"/>
    <m/>
    <m/>
    <m/>
    <m/>
    <n v="-222.87370000000001"/>
    <n v="55.17540000000001"/>
    <n v="31"/>
    <n v="57.477204282226467"/>
    <n v="0"/>
    <n v="0"/>
    <n v="0"/>
    <n v="0"/>
    <n v="0"/>
    <n v="0"/>
    <n v="0"/>
    <n v="7.5465437109870379"/>
    <n v="0"/>
    <n v="0"/>
    <n v="55.174354710688647"/>
    <n v="0"/>
    <n v="0"/>
    <n v="0"/>
    <n v="0.56334460179412726"/>
    <n v="0"/>
    <n v="-5.0419512588852911"/>
    <m/>
    <n v="0"/>
    <n v="0"/>
    <n v="0"/>
    <n v="0"/>
    <n v="-0.60926852975092416"/>
    <n v="-0.15581895260693468"/>
    <n v="0"/>
    <n v="0"/>
    <m/>
    <m/>
    <m/>
    <n v="513.20529834747344"/>
    <n v="0"/>
    <n v="0"/>
    <n v="-222.8737000000001"/>
    <n v="55.175400000000025"/>
    <n v="0"/>
    <n v="0"/>
    <n v="-225.18027241076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49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5.52"/>
    <n v="5.52"/>
    <n v="5.52"/>
    <n v="5.52"/>
    <m/>
    <n v="345.46"/>
    <n v="215.17"/>
    <m/>
    <n v="3094.6775999999995"/>
    <n v="3094.6775999999995"/>
    <n v="2654.0159999999996"/>
    <n v="0"/>
    <n v="0"/>
    <n v="0"/>
    <n v="0"/>
    <n v="0"/>
    <n v="493.02198727615144"/>
    <n v="1395.5139147182531"/>
    <n v="1163.4058954673287"/>
    <n v="24.326498881071991"/>
    <n v="0"/>
    <n v="0"/>
    <n v="0"/>
    <n v="0"/>
    <n v="0"/>
    <m/>
    <n v="6.4992340831990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8678678592724"/>
    <n v="0"/>
    <n v="0"/>
    <n v="0"/>
    <n v="125.12"/>
    <n v="6"/>
    <m/>
    <m/>
    <m/>
    <m/>
    <m/>
    <m/>
    <m/>
    <n v="1725.1104"/>
    <m/>
    <n v="1175.2845741459214"/>
    <m/>
    <m/>
    <m/>
    <m/>
    <m/>
    <m/>
    <m/>
    <m/>
    <m/>
    <m/>
    <m/>
    <m/>
    <n v="928.90559999999982"/>
    <n v="-154.25880000000006"/>
    <m/>
    <m/>
    <m/>
    <m/>
    <n v="-590.69519999999989"/>
    <n v="150.03360000000004"/>
    <n v="31"/>
    <n v="171.65955707939088"/>
    <n v="0"/>
    <n v="0"/>
    <n v="0"/>
    <n v="0"/>
    <n v="0"/>
    <n v="0"/>
    <n v="0"/>
    <n v="20.520650879137179"/>
    <n v="0"/>
    <n v="0"/>
    <n v="150.03075763694665"/>
    <n v="0"/>
    <n v="0"/>
    <n v="0"/>
    <n v="1.5318533014303366"/>
    <n v="0"/>
    <n v="0"/>
    <m/>
    <n v="0"/>
    <n v="0"/>
    <n v="0"/>
    <n v="0"/>
    <n v="0"/>
    <n v="-0.42370473812329035"/>
    <n v="0"/>
    <n v="0"/>
    <m/>
    <m/>
    <m/>
    <n v="1395.5139147182531"/>
    <n v="0"/>
    <n v="0"/>
    <n v="-590.69519999999989"/>
    <n v="150.03360000000021"/>
    <n v="0"/>
    <n v="0"/>
    <n v="-612.31285896917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0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1.669"/>
    <n v="11.669"/>
    <n v="11.669"/>
    <n v="11.669"/>
    <m/>
    <n v="345.46"/>
    <n v="215.17"/>
    <m/>
    <n v="6541.9914699999999"/>
    <n v="6541.9914699999999"/>
    <n v="5610.4552000000003"/>
    <n v="0"/>
    <n v="0"/>
    <n v="0"/>
    <n v="0"/>
    <n v="0"/>
    <n v="1042.2234727401108"/>
    <n v="2950.0456287766842"/>
    <n v="2459.3810496754095"/>
    <n v="51.424984681744398"/>
    <n v="0"/>
    <n v="0"/>
    <n v="0"/>
    <n v="0"/>
    <n v="0"/>
    <m/>
    <n v="13.739051180588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110924184872921"/>
    <n v="0"/>
    <n v="0"/>
    <n v="0"/>
    <n v="458.56"/>
    <n v="37"/>
    <m/>
    <m/>
    <m/>
    <m/>
    <m/>
    <m/>
    <m/>
    <n v="2244.18208"/>
    <m/>
    <n v="2484.4919738602825"/>
    <m/>
    <m/>
    <m/>
    <m/>
    <m/>
    <m/>
    <m/>
    <m/>
    <m/>
    <m/>
    <m/>
    <m/>
    <n v="3366.5616"/>
    <n v="-558.56993000000102"/>
    <m/>
    <m/>
    <m/>
    <m/>
    <n v="-1248.6996899999999"/>
    <n v="317.16342000000009"/>
    <n v="31"/>
    <n v="362.87959629699481"/>
    <n v="0"/>
    <n v="0"/>
    <n v="0"/>
    <n v="0"/>
    <n v="0"/>
    <n v="0"/>
    <n v="0"/>
    <n v="43.379615055915338"/>
    <n v="0"/>
    <n v="0"/>
    <n v="317.1574113886827"/>
    <n v="0"/>
    <n v="0"/>
    <n v="0"/>
    <n v="3.2382601765200327"/>
    <n v="0"/>
    <n v="0"/>
    <m/>
    <n v="0"/>
    <n v="0"/>
    <n v="0"/>
    <n v="0"/>
    <n v="0"/>
    <n v="-0.8956903241233114"/>
    <n v="0"/>
    <n v="0"/>
    <m/>
    <m/>
    <m/>
    <n v="2950.0456287766842"/>
    <n v="0"/>
    <n v="0"/>
    <n v="-1248.6996899999999"/>
    <n v="317.16342000000031"/>
    <n v="0"/>
    <n v="0"/>
    <n v="-1294.398324512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1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1.513999999999999"/>
    <n v="11.513999999999999"/>
    <n v="11.513999999999999"/>
    <n v="11.513999999999999"/>
    <m/>
    <n v="345.46"/>
    <n v="215.17"/>
    <m/>
    <n v="6455.0938199999991"/>
    <n v="6455.0938199999991"/>
    <n v="5535.9311999999991"/>
    <n v="0"/>
    <n v="0"/>
    <n v="0"/>
    <n v="0"/>
    <n v="0"/>
    <n v="1028.3795582423202"/>
    <n v="2910.8600025481824"/>
    <n v="2426.7129493497869"/>
    <n v="50.741903644322988"/>
    <n v="0"/>
    <n v="0"/>
    <n v="0"/>
    <n v="0"/>
    <n v="0"/>
    <m/>
    <n v="13.55655457136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777374330673304"/>
    <n v="0"/>
    <n v="0"/>
    <n v="0"/>
    <n v="1138.54"/>
    <n v="88"/>
    <m/>
    <m/>
    <m/>
    <m/>
    <m/>
    <m/>
    <m/>
    <n v="553.70825999999965"/>
    <m/>
    <n v="2451.4903236804603"/>
    <m/>
    <m/>
    <m/>
    <m/>
    <m/>
    <m/>
    <m/>
    <m/>
    <m/>
    <m/>
    <m/>
    <m/>
    <n v="4980.4920999999995"/>
    <n v="-829.04174000000057"/>
    <m/>
    <m/>
    <m/>
    <m/>
    <n v="-1232.1131399999999"/>
    <n v="312.95052000000004"/>
    <n v="31"/>
    <n v="358.05944569059966"/>
    <n v="0"/>
    <n v="0"/>
    <n v="0"/>
    <n v="0"/>
    <n v="0"/>
    <n v="0"/>
    <n v="0"/>
    <n v="42.803401127243887"/>
    <n v="0"/>
    <n v="0"/>
    <n v="312.94459120141346"/>
    <n v="0"/>
    <n v="0"/>
    <n v="0"/>
    <n v="3.1952461798313188"/>
    <n v="0"/>
    <n v="0"/>
    <m/>
    <n v="0"/>
    <n v="0"/>
    <n v="0"/>
    <n v="0"/>
    <n v="0"/>
    <n v="-0.88379281788977515"/>
    <n v="0"/>
    <n v="0"/>
    <m/>
    <m/>
    <m/>
    <n v="2910.8600025481824"/>
    <n v="0"/>
    <n v="0"/>
    <n v="-1232.1131399999999"/>
    <n v="312.95052000000032"/>
    <n v="0"/>
    <n v="0"/>
    <n v="-1277.2047569150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4.2629999999999999"/>
    <n v="4.2629999999999999"/>
    <n v="4.2629999999999999"/>
    <n v="4.2629999999999999"/>
    <m/>
    <n v="345.46"/>
    <n v="215.17"/>
    <m/>
    <n v="2389.96569"/>
    <n v="2389.96569"/>
    <n v="2049.6504"/>
    <n v="0"/>
    <n v="0"/>
    <n v="0"/>
    <n v="0"/>
    <n v="0"/>
    <n v="380.75230647794086"/>
    <n v="1077.7311265296944"/>
    <n v="898.47813992340991"/>
    <n v="18.786932016306142"/>
    <n v="0"/>
    <n v="0"/>
    <n v="0"/>
    <n v="0"/>
    <n v="0"/>
    <m/>
    <n v="5.0192454522966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736969577610132"/>
    <n v="0"/>
    <n v="0"/>
    <n v="0"/>
    <n v="683.15"/>
    <n v="53"/>
    <m/>
    <m/>
    <m/>
    <m/>
    <m/>
    <m/>
    <m/>
    <m/>
    <m/>
    <n v="907.65183688117088"/>
    <m/>
    <m/>
    <m/>
    <m/>
    <m/>
    <m/>
    <m/>
    <m/>
    <m/>
    <m/>
    <m/>
    <m/>
    <n v="2048.2079999999996"/>
    <n v="-341.78769000000057"/>
    <m/>
    <m/>
    <m/>
    <m/>
    <n v="-456.18362999999994"/>
    <n v="115.86834000000003"/>
    <n v="31"/>
    <n v="132.56969054881233"/>
    <n v="0"/>
    <n v="0"/>
    <n v="0"/>
    <n v="0"/>
    <n v="0"/>
    <n v="0"/>
    <n v="0"/>
    <n v="15.847741793072828"/>
    <n v="0"/>
    <n v="0"/>
    <n v="115.86614489244619"/>
    <n v="0"/>
    <n v="0"/>
    <n v="0"/>
    <n v="1.183023663767667"/>
    <n v="0"/>
    <n v="0"/>
    <m/>
    <n v="0"/>
    <n v="0"/>
    <n v="0"/>
    <n v="0"/>
    <n v="0"/>
    <n v="-0.32721980047456256"/>
    <n v="0"/>
    <n v="0"/>
    <m/>
    <m/>
    <m/>
    <n v="1077.7311265296944"/>
    <n v="0"/>
    <n v="0"/>
    <n v="-456.18362999999999"/>
    <n v="115.8683400000001"/>
    <n v="0"/>
    <n v="0"/>
    <n v="-472.87857206260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3"/>
    <s v="Regular"/>
    <s v="Convencional"/>
    <s v="B3"/>
    <s v="Industrial"/>
    <s v="Não se aplica"/>
    <s v="Não se aplica"/>
    <s v="Não se aplica"/>
    <s v="Não se aplica"/>
    <s v="CATIVO"/>
    <x v="4"/>
    <n v="0"/>
    <n v="0"/>
    <n v="17.579000000000001"/>
    <n v="17.579000000000001"/>
    <n v="17.579000000000001"/>
    <n v="17.579000000000001"/>
    <m/>
    <n v="415.98"/>
    <n v="215.17"/>
    <m/>
    <n v="11094.985850000001"/>
    <n v="11094.985850000001"/>
    <n v="9642.7846600000012"/>
    <n v="0"/>
    <n v="1073.8413078977169"/>
    <n v="0"/>
    <n v="0"/>
    <n v="0"/>
    <n v="1570.0785352042512"/>
    <n v="4444.1556352956832"/>
    <n v="3704.9841008007561"/>
    <n v="77.470203592457352"/>
    <n v="0"/>
    <n v="0"/>
    <n v="0"/>
    <n v="0"/>
    <n v="165.93602751656445"/>
    <m/>
    <n v="20.697470280535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28857335322745"/>
    <n v="0"/>
    <n v="0"/>
    <n v="0"/>
    <n v="4046.02"/>
    <n v="37"/>
    <m/>
    <m/>
    <m/>
    <m/>
    <m/>
    <m/>
    <m/>
    <m/>
    <m/>
    <n v="3742.812958136079"/>
    <m/>
    <m/>
    <m/>
    <m/>
    <m/>
    <m/>
    <m/>
    <m/>
    <m/>
    <m/>
    <m/>
    <m/>
    <n v="9643.3331999999991"/>
    <n v="-1451.6826500000025"/>
    <m/>
    <m/>
    <m/>
    <m/>
    <n v="-1929.9984100000004"/>
    <n v="477.79722000000015"/>
    <n v="31"/>
    <n v="497.72993796909486"/>
    <n v="0"/>
    <n v="0"/>
    <n v="0"/>
    <n v="0"/>
    <n v="0"/>
    <n v="0"/>
    <n v="0"/>
    <n v="65.350094529774196"/>
    <n v="0"/>
    <n v="0"/>
    <n v="477.78816820650081"/>
    <n v="0"/>
    <n v="0"/>
    <n v="0"/>
    <n v="4.8783422438122912"/>
    <n v="0"/>
    <n v="-43.661310926081114"/>
    <m/>
    <n v="0"/>
    <n v="0"/>
    <n v="0"/>
    <n v="0"/>
    <n v="-5.2760253618184834"/>
    <n v="-1.3493307230922689"/>
    <n v="0"/>
    <n v="0"/>
    <m/>
    <m/>
    <m/>
    <n v="4444.1556352956832"/>
    <n v="0"/>
    <n v="0"/>
    <n v="-1929.9984100000011"/>
    <n v="477.79722000000038"/>
    <n v="0"/>
    <n v="0"/>
    <n v="-1949.972418083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4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4"/>
    <n v="0.4"/>
    <n v="0.4"/>
    <n v="0.4"/>
    <m/>
    <n v="415.98"/>
    <n v="215.17"/>
    <m/>
    <n v="252.46000000000004"/>
    <n v="252.46000000000004"/>
    <n v="219.416"/>
    <n v="0"/>
    <n v="24.434639237674883"/>
    <n v="0"/>
    <n v="0"/>
    <n v="0"/>
    <n v="35.726230962039963"/>
    <n v="101.124196718714"/>
    <n v="84.304775033864416"/>
    <n v="1.7627897739907241"/>
    <n v="0"/>
    <n v="0"/>
    <n v="0"/>
    <n v="0"/>
    <n v="3.7757785429561284"/>
    <m/>
    <n v="0.47095899153616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60773817289328"/>
    <n v="0"/>
    <n v="0"/>
    <n v="0"/>
    <n v="1070.4100000000001"/>
    <n v="4"/>
    <m/>
    <m/>
    <m/>
    <m/>
    <m/>
    <m/>
    <m/>
    <m/>
    <m/>
    <n v="85.165548851153744"/>
    <m/>
    <m/>
    <m/>
    <m/>
    <m/>
    <m/>
    <m/>
    <m/>
    <m/>
    <m/>
    <m/>
    <m/>
    <n v="219.416"/>
    <n v="-33.074000000000012"/>
    <m/>
    <m/>
    <m/>
    <m/>
    <n v="-43.916000000000011"/>
    <n v="10.872000000000003"/>
    <n v="31"/>
    <n v="11.325557494034825"/>
    <n v="0"/>
    <n v="0"/>
    <n v="0"/>
    <n v="0"/>
    <n v="0"/>
    <n v="0"/>
    <n v="0"/>
    <n v="1.4870036868939991"/>
    <n v="0"/>
    <n v="0"/>
    <n v="10.871794031662787"/>
    <n v="0"/>
    <n v="0"/>
    <n v="0"/>
    <n v="0.11100386242248805"/>
    <n v="0"/>
    <n v="-0.99348793278528191"/>
    <m/>
    <n v="0"/>
    <n v="0"/>
    <n v="0"/>
    <n v="0"/>
    <n v="-0.12005291226619219"/>
    <n v="-3.0703241892992061E-2"/>
    <n v="0"/>
    <n v="0"/>
    <m/>
    <m/>
    <m/>
    <n v="101.124196718714"/>
    <n v="0"/>
    <n v="0"/>
    <n v="-43.916000000000025"/>
    <n v="10.872"/>
    <n v="0"/>
    <n v="0"/>
    <n v="-44.370497026751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5"/>
    <s v="Regular"/>
    <s v="Verde"/>
    <s v="A4"/>
    <s v="Industrial"/>
    <s v="Não se aplica"/>
    <s v="Não se aplica"/>
    <s v="Não se aplica"/>
    <s v="Ponta"/>
    <s v="CATIVO"/>
    <x v="4"/>
    <n v="0"/>
    <n v="0"/>
    <n v="149.96299999999999"/>
    <n v="149.96299999999999"/>
    <n v="149.96299999999999"/>
    <n v="149.96299999999999"/>
    <m/>
    <n v="2184.0300000000002"/>
    <n v="215.17"/>
    <m/>
    <n v="359791.22960000002"/>
    <n v="359791.22960000002"/>
    <n v="271491.51556999999"/>
    <n v="0"/>
    <n v="7969.8346736987678"/>
    <n v="0"/>
    <n v="0"/>
    <n v="0"/>
    <n v="98824.757135123626"/>
    <n v="219085.15707324952"/>
    <n v="31606.492446008517"/>
    <n v="660.88310719242736"/>
    <n v="0"/>
    <n v="0"/>
    <n v="0"/>
    <n v="0"/>
    <n v="1415.5676940933245"/>
    <m/>
    <n v="103.45537163010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59692040264879"/>
    <n v="0"/>
    <n v="0"/>
    <n v="0"/>
    <n v="0"/>
    <n v="0"/>
    <m/>
    <m/>
    <m/>
    <m/>
    <m/>
    <m/>
    <m/>
    <m/>
    <m/>
    <n v="31731.089366411165"/>
    <m/>
    <m/>
    <m/>
    <m/>
    <m/>
    <m/>
    <m/>
    <m/>
    <m/>
    <m/>
    <m/>
    <m/>
    <n v="271486.08439999999"/>
    <n v="-88305.175200000056"/>
    <m/>
    <m/>
    <m/>
    <m/>
    <n v="-92375.708370000037"/>
    <n v="4075.9943400000006"/>
    <n v="31"/>
    <n v="7829.4881518846378"/>
    <n v="0"/>
    <n v="0"/>
    <n v="0"/>
    <n v="0"/>
    <n v="0"/>
    <n v="0"/>
    <n v="0"/>
    <n v="4113.3020265270461"/>
    <n v="0"/>
    <n v="0"/>
    <n v="4075.9171209256237"/>
    <n v="0"/>
    <n v="0"/>
    <n v="0"/>
    <n v="16.067797524552972"/>
    <n v="0"/>
    <n v="-324.04548712979431"/>
    <m/>
    <n v="0"/>
    <n v="0"/>
    <n v="0"/>
    <n v="0"/>
    <n v="-45.008737205437228"/>
    <n v="-6.7445687573090822"/>
    <n v="0"/>
    <n v="0"/>
    <m/>
    <m/>
    <m/>
    <n v="219085.15707324952"/>
    <n v="0"/>
    <n v="0"/>
    <n v="-92375.708370000037"/>
    <n v="4075.9943400000011"/>
    <n v="0"/>
    <n v="0"/>
    <n v="-96128.4996662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6"/>
    <s v="Regular"/>
    <s v="Verde"/>
    <s v="A4"/>
    <s v="Industrial"/>
    <s v="Não se aplica"/>
    <s v="Não se aplica"/>
    <s v="Não se aplica"/>
    <s v="Fora ponta"/>
    <s v="CATIVO"/>
    <x v="4"/>
    <n v="0"/>
    <n v="0"/>
    <n v="1705.3030000000001"/>
    <n v="1705.3030000000001"/>
    <n v="1705.3030000000001"/>
    <n v="1705.3030000000001"/>
    <m/>
    <n v="64.11"/>
    <n v="215.17"/>
    <m/>
    <n v="476257.02184"/>
    <n v="476257.02184"/>
    <n v="518514.43018000002"/>
    <n v="0"/>
    <n v="90628.908321136085"/>
    <n v="0"/>
    <n v="0"/>
    <n v="0"/>
    <n v="0"/>
    <n v="0"/>
    <n v="359412.96444893518"/>
    <n v="7515.2267248892595"/>
    <n v="0"/>
    <n v="0"/>
    <n v="0"/>
    <n v="0"/>
    <n v="16097.116191596786"/>
    <m/>
    <n v="1176.4418930464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8528380560419"/>
    <n v="0"/>
    <n v="0"/>
    <n v="0"/>
    <n v="0"/>
    <n v="0"/>
    <m/>
    <m/>
    <m/>
    <m/>
    <m/>
    <m/>
    <m/>
    <m/>
    <m/>
    <n v="360829.81728699122"/>
    <m/>
    <m/>
    <m/>
    <m/>
    <m/>
    <m/>
    <m/>
    <m/>
    <m/>
    <m/>
    <m/>
    <m/>
    <n v="518513.51799999992"/>
    <n v="42256.466159999894"/>
    <m/>
    <m/>
    <m/>
    <m/>
    <n v="-4092.727199999998"/>
    <n v="46350.135540000017"/>
    <n v="31"/>
    <n v="42258.57943713275"/>
    <n v="0"/>
    <n v="0"/>
    <n v="0"/>
    <n v="0"/>
    <n v="0"/>
    <n v="0"/>
    <n v="0"/>
    <n v="0"/>
    <n v="0"/>
    <n v="0"/>
    <n v="46349.257443941664"/>
    <n v="0"/>
    <n v="0"/>
    <n v="0"/>
    <n v="182.71482513695219"/>
    <n v="0"/>
    <n v="-3684.8805461273732"/>
    <m/>
    <n v="0"/>
    <n v="0"/>
    <n v="0"/>
    <n v="0"/>
    <n v="-511.8164786156849"/>
    <n v="-76.695807202746437"/>
    <n v="0"/>
    <n v="0"/>
    <m/>
    <m/>
    <m/>
    <n v="0"/>
    <n v="0"/>
    <n v="0"/>
    <n v="-4092.7271999999939"/>
    <n v="46350.13553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7"/>
    <s v="Regular"/>
    <s v="Verde"/>
    <s v="A4"/>
    <s v="Industrial"/>
    <s v="Não se aplica"/>
    <s v="Não se aplica"/>
    <s v="Não se aplica"/>
    <s v="Não se aplica"/>
    <s v="CATIVO"/>
    <x v="4"/>
    <n v="5258"/>
    <n v="5258"/>
    <n v="0"/>
    <n v="0"/>
    <n v="0"/>
    <n v="0"/>
    <n v="28.04"/>
    <m/>
    <m/>
    <n v="147434.32"/>
    <m/>
    <n v="147434.32"/>
    <n v="110733.48"/>
    <n v="0"/>
    <n v="0"/>
    <n v="0"/>
    <n v="0"/>
    <n v="0"/>
    <n v="58209.621740303606"/>
    <n v="89250.8688757058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4503.35"/>
    <n v="14"/>
    <m/>
    <m/>
    <m/>
    <m/>
    <m/>
    <m/>
    <m/>
    <m/>
    <m/>
    <n v="0"/>
    <m/>
    <m/>
    <m/>
    <m/>
    <m/>
    <m/>
    <m/>
    <m/>
    <m/>
    <m/>
    <m/>
    <m/>
    <n v="110733.48"/>
    <n v="-36700.870000000039"/>
    <m/>
    <m/>
    <m/>
    <m/>
    <n v="-36700.840000000004"/>
    <n v="0"/>
    <n v="31"/>
    <n v="2422.8114696032935"/>
    <n v="0"/>
    <n v="0"/>
    <n v="0"/>
    <n v="0"/>
    <m/>
    <m/>
    <m/>
    <n v="2422.81146960329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250.868875705899"/>
    <m/>
    <n v="0"/>
    <n v="0"/>
    <n v="-36700.840000000011"/>
    <m/>
    <n v="0"/>
    <m/>
    <n v="-39160.809584474911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158"/>
    <s v="Regular"/>
    <s v="Convencional"/>
    <s v="B3"/>
    <s v="Comercial"/>
    <s v="Não se aplica"/>
    <s v="Não se aplica"/>
    <s v="Não se aplica"/>
    <s v="Não se aplica"/>
    <s v="CATIVO"/>
    <x v="4"/>
    <n v="0"/>
    <n v="0"/>
    <n v="195.72300000000001"/>
    <n v="195.72300000000001"/>
    <n v="195.72300000000001"/>
    <n v="195.72300000000001"/>
    <m/>
    <n v="415.98"/>
    <n v="215.17"/>
    <m/>
    <n v="123530.57145000002"/>
    <n v="123530.57145000002"/>
    <n v="107361.89442"/>
    <n v="0"/>
    <n v="11956.052238788603"/>
    <n v="0"/>
    <n v="0"/>
    <n v="0"/>
    <n v="17481.112756458369"/>
    <n v="49480.827885942148"/>
    <n v="41250.958709882609"/>
    <n v="862.54625733696628"/>
    <n v="0"/>
    <n v="0"/>
    <n v="0"/>
    <n v="0"/>
    <n v="1847.5167594075058"/>
    <m/>
    <n v="230.4437667510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18308460329786"/>
    <n v="0"/>
    <n v="0"/>
    <n v="0"/>
    <n v="44622.89"/>
    <n v="444"/>
    <m/>
    <m/>
    <m/>
    <m/>
    <m/>
    <m/>
    <m/>
    <m/>
    <m/>
    <n v="41672.141794485906"/>
    <m/>
    <m/>
    <m/>
    <m/>
    <m/>
    <m/>
    <m/>
    <m/>
    <m/>
    <m/>
    <m/>
    <m/>
    <n v="107360.2488"/>
    <n v="-16170.352650000001"/>
    <m/>
    <m/>
    <m/>
    <m/>
    <n v="-21488.428170000007"/>
    <n v="5319.7511400000021"/>
    <n v="31"/>
    <n v="5541.6802235124487"/>
    <n v="0"/>
    <n v="0"/>
    <n v="0"/>
    <n v="0"/>
    <n v="0"/>
    <n v="0"/>
    <n v="0"/>
    <n v="727.6020565248873"/>
    <n v="0"/>
    <n v="0"/>
    <n v="5319.6503581478464"/>
    <n v="0"/>
    <n v="0"/>
    <n v="0"/>
    <n v="54.315022412291626"/>
    <n v="0"/>
    <n v="-486.12109667133336"/>
    <m/>
    <n v="0"/>
    <n v="0"/>
    <n v="0"/>
    <n v="0"/>
    <n v="-58.742790368689839"/>
    <n v="-15.023326532555217"/>
    <n v="0"/>
    <n v="0"/>
    <m/>
    <m/>
    <m/>
    <n v="49480.827885942148"/>
    <n v="0"/>
    <n v="0"/>
    <n v="-21488.428170000007"/>
    <n v="5319.7511400000003"/>
    <n v="0"/>
    <n v="0"/>
    <n v="-21710.81697391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59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2.5579999999999998"/>
    <n v="2.5579999999999998"/>
    <n v="2.5579999999999998"/>
    <n v="2.5579999999999998"/>
    <m/>
    <n v="415.98"/>
    <n v="215.17"/>
    <m/>
    <n v="1614.4816999999998"/>
    <n v="1614.4816999999998"/>
    <n v="1403.1653200000001"/>
    <n v="0"/>
    <n v="156.25951792493086"/>
    <n v="0"/>
    <n v="0"/>
    <n v="0"/>
    <n v="228.46924700224554"/>
    <n v="646.68923801617598"/>
    <n v="539.12903634156282"/>
    <n v="11.27304060467068"/>
    <n v="0"/>
    <n v="0"/>
    <n v="0"/>
    <n v="0"/>
    <n v="24.146103782204438"/>
    <m/>
    <n v="3.011782750873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046485615652516"/>
    <n v="0"/>
    <n v="0"/>
    <n v="0"/>
    <n v="1431.43"/>
    <n v="8"/>
    <m/>
    <m/>
    <m/>
    <m/>
    <m/>
    <m/>
    <m/>
    <m/>
    <m/>
    <n v="544.63368490312803"/>
    <m/>
    <m/>
    <m/>
    <m/>
    <m/>
    <m/>
    <m/>
    <m/>
    <m/>
    <m/>
    <m/>
    <m/>
    <n v="1404.2624000000001"/>
    <n v="-210.24929999999972"/>
    <m/>
    <m/>
    <m/>
    <m/>
    <n v="-280.84282000000002"/>
    <n v="69.526440000000008"/>
    <n v="31"/>
    <n v="72.426940174352694"/>
    <n v="0"/>
    <n v="0"/>
    <n v="0"/>
    <n v="0"/>
    <n v="0"/>
    <n v="0"/>
    <n v="0"/>
    <n v="9.5093885776871332"/>
    <n v="0"/>
    <n v="0"/>
    <n v="69.525122832483589"/>
    <n v="0"/>
    <n v="0"/>
    <n v="0"/>
    <n v="0.7098697001918115"/>
    <n v="0"/>
    <n v="-6.353355330161861"/>
    <m/>
    <n v="0"/>
    <n v="0"/>
    <n v="0"/>
    <n v="0"/>
    <n v="-0.76773837394229716"/>
    <n v="-0.19634723190568426"/>
    <n v="0"/>
    <n v="0"/>
    <m/>
    <m/>
    <m/>
    <n v="646.68923801617598"/>
    <n v="0"/>
    <n v="0"/>
    <n v="-280.84281999999996"/>
    <n v="69.52643999999998"/>
    <n v="0"/>
    <n v="0"/>
    <n v="-283.74932848607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0"/>
    <s v="Regular"/>
    <s v="Verde"/>
    <s v="A4"/>
    <s v="Comercial"/>
    <s v="Não se aplica"/>
    <s v="Não se aplica"/>
    <s v="Não se aplica"/>
    <s v="Ponta"/>
    <s v="CATIVO"/>
    <x v="4"/>
    <n v="0"/>
    <n v="0"/>
    <n v="3.2650000000000001"/>
    <n v="3.2650000000000001"/>
    <n v="3.2650000000000001"/>
    <n v="3.2650000000000001"/>
    <m/>
    <n v="2184.0300000000002"/>
    <n v="215.17"/>
    <m/>
    <n v="7833.3880000000008"/>
    <n v="7833.3880000000008"/>
    <n v="5910.92335"/>
    <n v="0"/>
    <n v="173.51953621644324"/>
    <n v="0"/>
    <n v="0"/>
    <n v="0"/>
    <n v="2151.6162789900086"/>
    <n v="4769.9301684026041"/>
    <n v="688.1377262139182"/>
    <n v="14.388771530199286"/>
    <n v="0"/>
    <n v="0"/>
    <n v="0"/>
    <n v="0"/>
    <n v="30.819792356879397"/>
    <m/>
    <n v="2.2524341895819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127287738618748"/>
    <n v="0"/>
    <n v="0"/>
    <n v="0"/>
    <n v="0"/>
    <n v="0"/>
    <m/>
    <m/>
    <m/>
    <m/>
    <m/>
    <m/>
    <m/>
    <m/>
    <m/>
    <n v="690.85045498778004"/>
    <m/>
    <m/>
    <m/>
    <m/>
    <m/>
    <m/>
    <m/>
    <m/>
    <m/>
    <m/>
    <m/>
    <m/>
    <n v="5919.9753000000001"/>
    <n v="-1913.4427000000014"/>
    <m/>
    <m/>
    <m/>
    <m/>
    <n v="-2011.2073500000008"/>
    <n v="88.742700000000028"/>
    <n v="31"/>
    <n v="170.46390653630215"/>
    <n v="0"/>
    <n v="0"/>
    <n v="0"/>
    <n v="0"/>
    <n v="0"/>
    <n v="0"/>
    <n v="0"/>
    <n v="89.55496433527469"/>
    <n v="0"/>
    <n v="0"/>
    <n v="88.741018783447657"/>
    <n v="0"/>
    <n v="0"/>
    <n v="0"/>
    <n v="0.34982868385978838"/>
    <n v="0"/>
    <n v="-7.0551303686827964"/>
    <m/>
    <n v="0"/>
    <n v="0"/>
    <n v="0"/>
    <n v="0"/>
    <n v="-0.97993189637279343"/>
    <n v="-0.1468430012243962"/>
    <n v="0"/>
    <n v="0"/>
    <m/>
    <m/>
    <m/>
    <n v="4769.9301684026041"/>
    <n v="0"/>
    <n v="0"/>
    <n v="-2011.2073500000006"/>
    <n v="88.742700000000013"/>
    <n v="0"/>
    <n v="0"/>
    <n v="-2092.9132613397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1"/>
    <s v="Regular"/>
    <s v="Verde"/>
    <s v="A4"/>
    <s v="Comercial"/>
    <s v="Não se aplica"/>
    <s v="Não se aplica"/>
    <s v="Não se aplica"/>
    <s v="Fora ponta"/>
    <s v="CATIVO"/>
    <x v="4"/>
    <n v="0"/>
    <n v="0"/>
    <n v="35.694000000000003"/>
    <n v="35.694000000000003"/>
    <n v="35.694000000000003"/>
    <n v="35.694000000000003"/>
    <m/>
    <n v="64.11"/>
    <n v="215.17"/>
    <m/>
    <n v="9968.62032"/>
    <n v="9968.62032"/>
    <n v="10853.11764"/>
    <n v="0"/>
    <n v="1896.9697781653065"/>
    <n v="0"/>
    <n v="0"/>
    <n v="0"/>
    <n v="0"/>
    <n v="0"/>
    <n v="7522.9366001468907"/>
    <n v="157.30254548206227"/>
    <n v="0"/>
    <n v="0"/>
    <n v="0"/>
    <n v="0"/>
    <n v="336.93159828069014"/>
    <m/>
    <n v="24.624314230609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56398423958887"/>
    <n v="0"/>
    <n v="0"/>
    <n v="0"/>
    <n v="0"/>
    <n v="0"/>
    <m/>
    <m/>
    <m/>
    <m/>
    <m/>
    <m/>
    <m/>
    <m/>
    <m/>
    <n v="7552.5929985708499"/>
    <m/>
    <m/>
    <m/>
    <m/>
    <m/>
    <m/>
    <m/>
    <m/>
    <m/>
    <m/>
    <m/>
    <m/>
    <n v="10851.901399999999"/>
    <n v="883.25107999999818"/>
    <m/>
    <m/>
    <m/>
    <m/>
    <n v="-85.665599999999955"/>
    <n v="970.16292000000033"/>
    <n v="31"/>
    <n v="884.52183244210755"/>
    <n v="0"/>
    <n v="0"/>
    <n v="0"/>
    <n v="0"/>
    <n v="0"/>
    <n v="0"/>
    <n v="0"/>
    <n v="0"/>
    <n v="0"/>
    <n v="0"/>
    <n v="970.14454041543013"/>
    <n v="0"/>
    <n v="0"/>
    <n v="0"/>
    <n v="3.8244364599360772"/>
    <n v="0"/>
    <n v="-77.12888924341928"/>
    <m/>
    <n v="0"/>
    <n v="0"/>
    <n v="0"/>
    <n v="0"/>
    <n v="-10.712921626073637"/>
    <n v="-1.6053335637683332"/>
    <n v="0"/>
    <n v="0"/>
    <m/>
    <m/>
    <m/>
    <n v="0"/>
    <n v="0"/>
    <n v="0"/>
    <n v="-85.665599999999813"/>
    <n v="970.16291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2"/>
    <s v="Regular"/>
    <s v="Verde"/>
    <s v="A4"/>
    <s v="Comercial"/>
    <s v="Não se aplica"/>
    <s v="Não se aplica"/>
    <s v="Não se aplica"/>
    <s v="Não se aplica"/>
    <s v="CATIVO"/>
    <x v="4"/>
    <n v="115"/>
    <n v="115"/>
    <n v="0"/>
    <n v="0"/>
    <n v="0"/>
    <n v="0"/>
    <n v="28.04"/>
    <m/>
    <m/>
    <n v="3224.6"/>
    <m/>
    <n v="3224.6"/>
    <n v="2421.8999999999996"/>
    <n v="0"/>
    <n v="0"/>
    <n v="0"/>
    <n v="0"/>
    <n v="0"/>
    <n v="1273.1279003679945"/>
    <n v="1952.04448853293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20.64"/>
    <n v="1"/>
    <m/>
    <m/>
    <m/>
    <m/>
    <m/>
    <m/>
    <m/>
    <m/>
    <m/>
    <n v="0"/>
    <m/>
    <m/>
    <m/>
    <m/>
    <m/>
    <m/>
    <m/>
    <m/>
    <m/>
    <m/>
    <m/>
    <m/>
    <n v="2421.8999999999996"/>
    <n v="-802.73000000000093"/>
    <m/>
    <m/>
    <m/>
    <m/>
    <n v="-802.7"/>
    <n v="0"/>
    <n v="31"/>
    <n v="52.990361164773503"/>
    <n v="0"/>
    <n v="0"/>
    <n v="0"/>
    <n v="0"/>
    <m/>
    <m/>
    <m/>
    <n v="52.9903611647735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52.0444885329359"/>
    <m/>
    <n v="0"/>
    <n v="0"/>
    <n v="-802.70000000000027"/>
    <m/>
    <n v="0"/>
    <m/>
    <n v="-856.50306242195006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163"/>
    <s v="Regular"/>
    <s v="Branca"/>
    <s v="B3"/>
    <s v="Comercial"/>
    <s v="Não se aplica"/>
    <s v="Não se aplica"/>
    <s v="Não se aplica"/>
    <s v="Ponta"/>
    <s v="CATIVO"/>
    <x v="4"/>
    <n v="0"/>
    <n v="0"/>
    <n v="7.4999999999999997E-2"/>
    <n v="7.4999999999999997E-2"/>
    <n v="7.4999999999999997E-2"/>
    <n v="7.4999999999999997E-2"/>
    <m/>
    <n v="1254.27"/>
    <n v="215.17"/>
    <m/>
    <n v="110.208"/>
    <n v="110.208"/>
    <n v="84.312749999999994"/>
    <n v="0"/>
    <n v="4.5814948570640404"/>
    <n v="0"/>
    <n v="0"/>
    <n v="0"/>
    <n v="23.116184877172351"/>
    <n v="65.414695527430268"/>
    <n v="15.807145318849575"/>
    <n v="0.33052308262326074"/>
    <n v="0"/>
    <n v="0"/>
    <n v="0"/>
    <n v="0"/>
    <n v="0.70795847680427404"/>
    <m/>
    <n v="8.83048109130307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139509074174899"/>
    <n v="0"/>
    <n v="0"/>
    <n v="0"/>
    <n v="0"/>
    <n v="0"/>
    <m/>
    <m/>
    <m/>
    <m/>
    <m/>
    <m/>
    <m/>
    <m/>
    <m/>
    <n v="15.968540409591323"/>
    <m/>
    <m/>
    <m/>
    <m/>
    <m/>
    <m/>
    <m/>
    <m/>
    <m/>
    <m/>
    <m/>
    <m/>
    <n v="89.933600000000013"/>
    <n v="-20.304400000000001"/>
    <m/>
    <m/>
    <m/>
    <m/>
    <n v="-27.933749999999993"/>
    <n v="2.0385000000000004"/>
    <n v="31"/>
    <n v="2.8068748926950278"/>
    <n v="0"/>
    <n v="0"/>
    <n v="0"/>
    <n v="0"/>
    <n v="0"/>
    <n v="0"/>
    <n v="0"/>
    <n v="0.96214605385612373"/>
    <n v="0"/>
    <n v="0"/>
    <n v="2.0384613809367735"/>
    <n v="0"/>
    <n v="0"/>
    <n v="0"/>
    <n v="2.0813224204216524E-2"/>
    <n v="0"/>
    <n v="-0.18627898739724014"/>
    <m/>
    <n v="0"/>
    <n v="0"/>
    <n v="0"/>
    <n v="0"/>
    <n v="-2.2509921049911008E-2"/>
    <n v="-5.7568578549360011E-3"/>
    <n v="0"/>
    <n v="0"/>
    <m/>
    <m/>
    <m/>
    <n v="65.414695527430268"/>
    <n v="0"/>
    <n v="0"/>
    <n v="-27.933750000000003"/>
    <n v="2.0385000000000026"/>
    <n v="0"/>
    <n v="0"/>
    <n v="-28.70215682878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4"/>
    <s v="Regular"/>
    <s v="Branca"/>
    <s v="B3"/>
    <s v="Comercial"/>
    <s v="Não se aplica"/>
    <s v="Não se aplica"/>
    <s v="Não se aplica"/>
    <s v="Fora ponta"/>
    <s v="CATIVO"/>
    <x v="4"/>
    <n v="0"/>
    <n v="0"/>
    <n v="0.86099999999999999"/>
    <n v="0.86099999999999999"/>
    <n v="0.86099999999999999"/>
    <n v="0.86099999999999999"/>
    <m/>
    <n v="309.91000000000003"/>
    <n v="215.17"/>
    <m/>
    <n v="452.09388000000001"/>
    <n v="452.09388000000001"/>
    <n v="409.57769999999994"/>
    <n v="0"/>
    <n v="52.595560959095181"/>
    <n v="0"/>
    <n v="0"/>
    <n v="0"/>
    <n v="53.051953218628455"/>
    <n v="150.19228331992221"/>
    <n v="181.46602826039313"/>
    <n v="3.7944049885150335"/>
    <n v="0"/>
    <n v="0"/>
    <n v="0"/>
    <n v="0"/>
    <n v="8.1273633137130652"/>
    <m/>
    <n v="1.013739229281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528156417152783"/>
    <n v="0"/>
    <n v="0"/>
    <n v="0"/>
    <n v="0"/>
    <n v="0"/>
    <m/>
    <m/>
    <m/>
    <m/>
    <m/>
    <m/>
    <m/>
    <m/>
    <m/>
    <n v="183.3188439021084"/>
    <m/>
    <m/>
    <m/>
    <m/>
    <m/>
    <m/>
    <m/>
    <m/>
    <m/>
    <m/>
    <m/>
    <m/>
    <n v="409.10199999999998"/>
    <n v="-43.02188000000001"/>
    <m/>
    <m/>
    <m/>
    <m/>
    <n v="-65.918160000000029"/>
    <n v="23.401980000000005"/>
    <n v="31"/>
    <n v="23.385625121624457"/>
    <n v="0"/>
    <n v="0"/>
    <n v="0"/>
    <n v="0"/>
    <n v="0"/>
    <n v="0"/>
    <n v="0"/>
    <n v="2.2081380517539131"/>
    <n v="0"/>
    <n v="0"/>
    <n v="23.401536653154153"/>
    <n v="0"/>
    <n v="0"/>
    <n v="0"/>
    <n v="0.23893581386440577"/>
    <n v="0"/>
    <n v="-2.1384827753203126"/>
    <m/>
    <n v="0"/>
    <n v="0"/>
    <n v="0"/>
    <n v="0"/>
    <n v="-0.2584138936529774"/>
    <n v="-6.6088728174665379E-2"/>
    <n v="0"/>
    <n v="0"/>
    <m/>
    <m/>
    <m/>
    <n v="150.19228331992221"/>
    <n v="0"/>
    <n v="0"/>
    <n v="-65.918160000000029"/>
    <n v="23.40197999999998"/>
    <n v="0"/>
    <n v="0"/>
    <n v="-65.900214555221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5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4.6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66"/>
    <s v="Regular"/>
    <s v="Branca"/>
    <s v="B3"/>
    <s v="Comercial"/>
    <s v="Não se aplica"/>
    <s v="Não se aplica"/>
    <s v="Não se aplica"/>
    <s v="Intermediário"/>
    <s v="CATIVO"/>
    <x v="4"/>
    <n v="0"/>
    <n v="0"/>
    <n v="0.05"/>
    <n v="0.05"/>
    <n v="0.05"/>
    <n v="0.05"/>
    <m/>
    <n v="782.07"/>
    <n v="215.17"/>
    <m/>
    <n v="49.862000000000002"/>
    <n v="49.862000000000002"/>
    <n v="39.9955"/>
    <n v="0"/>
    <n v="3.0543299047093604"/>
    <n v="0"/>
    <n v="0"/>
    <n v="0"/>
    <n v="9.2447079996990507"/>
    <n v="26.165874076566151"/>
    <n v="10.538096879233052"/>
    <n v="0.22034872174884051"/>
    <n v="0"/>
    <n v="0"/>
    <n v="0"/>
    <n v="0"/>
    <n v="0.47197231786951604"/>
    <m/>
    <n v="5.88698739420205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7596727161166"/>
    <n v="0"/>
    <n v="0"/>
    <n v="0"/>
    <n v="0"/>
    <n v="0"/>
    <m/>
    <m/>
    <m/>
    <m/>
    <m/>
    <m/>
    <m/>
    <m/>
    <m/>
    <n v="10.645693606394218"/>
    <m/>
    <m/>
    <m/>
    <m/>
    <m/>
    <m/>
    <m/>
    <m/>
    <m/>
    <m/>
    <m/>
    <m/>
    <n v="39.9955"/>
    <n v="-9.8964999999999961"/>
    <m/>
    <m/>
    <m/>
    <m/>
    <n v="-11.225500000000006"/>
    <n v="1.3590000000000004"/>
    <n v="31"/>
    <n v="1.6146041446940558"/>
    <n v="0"/>
    <n v="0"/>
    <n v="0"/>
    <n v="0"/>
    <n v="0"/>
    <n v="0"/>
    <n v="0"/>
    <n v="0.38478491880145071"/>
    <n v="0"/>
    <n v="0"/>
    <n v="1.3589742539578484"/>
    <n v="0"/>
    <n v="0"/>
    <n v="0"/>
    <n v="1.3875482802811007E-2"/>
    <n v="0"/>
    <n v="-0.12418599159816024"/>
    <m/>
    <n v="0"/>
    <n v="0"/>
    <n v="0"/>
    <n v="0"/>
    <n v="-1.5006614033274024E-2"/>
    <n v="-3.8379052366240077E-3"/>
    <n v="0"/>
    <n v="0"/>
    <m/>
    <m/>
    <m/>
    <n v="26.165874076566151"/>
    <n v="0"/>
    <n v="0"/>
    <n v="-11.225500000000004"/>
    <n v="1.359"/>
    <n v="0"/>
    <n v="0"/>
    <n v="-11.48086091745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7"/>
    <s v="Regular"/>
    <s v="Convencional"/>
    <s v="B2"/>
    <s v="Rural"/>
    <s v="Não se aplica"/>
    <s v="Não se aplica"/>
    <s v="Não se aplica"/>
    <s v="Não se aplica"/>
    <s v="CATIVO"/>
    <x v="4"/>
    <n v="0"/>
    <n v="0"/>
    <n v="526.49800000000005"/>
    <n v="526.49800000000005"/>
    <n v="526.49800000000005"/>
    <n v="526.49800000000005"/>
    <m/>
    <n v="415.98"/>
    <n v="215.17"/>
    <m/>
    <n v="332299.21270000003"/>
    <n v="332299.21270000003"/>
    <n v="288805.21292000002"/>
    <n v="0"/>
    <n v="32161.971723393377"/>
    <n v="0"/>
    <n v="0"/>
    <n v="0"/>
    <n v="47024.472872630293"/>
    <n v="133104.21831002372"/>
    <n v="110965.73861444887"/>
    <n v="2320.2632260664209"/>
    <n v="0"/>
    <n v="0"/>
    <n v="0"/>
    <n v="0"/>
    <n v="4969.8496282732895"/>
    <m/>
    <n v="619.89741781451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2.9892331379915"/>
    <n v="0"/>
    <n v="0"/>
    <n v="0"/>
    <n v="73045.66"/>
    <n v="1665"/>
    <m/>
    <m/>
    <m/>
    <m/>
    <m/>
    <n v="34654.098359999996"/>
    <m/>
    <m/>
    <m/>
    <n v="112098.72784758687"/>
    <m/>
    <m/>
    <m/>
    <m/>
    <m/>
    <m/>
    <m/>
    <m/>
    <m/>
    <m/>
    <m/>
    <m/>
    <n v="254152.08"/>
    <n v="-38270.204180000088"/>
    <m/>
    <m/>
    <m/>
    <m/>
    <n v="-57804.215420000015"/>
    <n v="14310.215640000004"/>
    <n v="31"/>
    <n v="14907.208423735865"/>
    <n v="0"/>
    <n v="0"/>
    <n v="0"/>
    <n v="0"/>
    <n v="0"/>
    <n v="0"/>
    <n v="0"/>
    <n v="1957.2611678557951"/>
    <n v="0"/>
    <n v="0"/>
    <n v="14309.944535205985"/>
    <n v="0"/>
    <n v="0"/>
    <n v="0"/>
    <n v="146.10827889428788"/>
    <n v="0"/>
    <n v="-1307.6735240889611"/>
    <m/>
    <n v="0"/>
    <n v="0"/>
    <n v="0"/>
    <n v="0"/>
    <n v="-158.01904550581366"/>
    <n v="-40.412988625441358"/>
    <n v="0"/>
    <n v="0"/>
    <m/>
    <m/>
    <m/>
    <n v="133104.21831002372"/>
    <n v="0"/>
    <n v="0"/>
    <n v="-57804.215419999993"/>
    <n v="14310.215640000009"/>
    <n v="0"/>
    <n v="0"/>
    <n v="-58402.444858977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8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0.33300000000000002"/>
    <n v="-0.33300000000000002"/>
    <n v="-0.33300000000000002"/>
    <n v="-0.33300000000000002"/>
    <m/>
    <n v="415.98"/>
    <n v="215.17"/>
    <m/>
    <n v="-210.17295000000001"/>
    <n v="-210.17295000000001"/>
    <n v="-182.66381999999999"/>
    <n v="0"/>
    <n v="-20.341837165364339"/>
    <n v="0"/>
    <n v="0"/>
    <n v="0"/>
    <n v="-29.742087275898268"/>
    <n v="-84.185893768329407"/>
    <n v="-70.183725215692121"/>
    <n v="-1.4675224868472778"/>
    <n v="0"/>
    <n v="0"/>
    <n v="0"/>
    <n v="0"/>
    <n v="-3.1433356370109768"/>
    <m/>
    <n v="-0.39207336045385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1659420289336562"/>
    <n v="0"/>
    <n v="0"/>
    <n v="0"/>
    <n v="-76.650000000000006"/>
    <n v="0"/>
    <m/>
    <m/>
    <m/>
    <m/>
    <m/>
    <n v="-21.918059999999997"/>
    <m/>
    <m/>
    <m/>
    <n v="-70.900319418585482"/>
    <m/>
    <m/>
    <m/>
    <m/>
    <m/>
    <m/>
    <m/>
    <m/>
    <m/>
    <m/>
    <m/>
    <m/>
    <n v="-159.29759999999999"/>
    <n v="25.62393000000003"/>
    <m/>
    <m/>
    <m/>
    <m/>
    <n v="36.56007000000001"/>
    <n v="-9.0509400000000024"/>
    <n v="31"/>
    <n v="-9.4285266137839869"/>
    <n v="0"/>
    <n v="0"/>
    <n v="0"/>
    <n v="0"/>
    <n v="0"/>
    <n v="0"/>
    <n v="0"/>
    <n v="-1.2379305693392588"/>
    <n v="0"/>
    <n v="0"/>
    <n v="-9.0507685313592816"/>
    <n v="0"/>
    <n v="0"/>
    <n v="0"/>
    <n v="-9.2410715466721305E-2"/>
    <n v="0"/>
    <n v="0.82707870404374617"/>
    <m/>
    <n v="0"/>
    <n v="0"/>
    <n v="0"/>
    <n v="0"/>
    <n v="9.9944049461604845E-2"/>
    <n v="2.5560448875915853E-2"/>
    <n v="0"/>
    <n v="0"/>
    <m/>
    <m/>
    <m/>
    <n v="-84.185893768329407"/>
    <n v="0"/>
    <n v="0"/>
    <n v="36.56007000000001"/>
    <n v="-9.0509399999999971"/>
    <n v="0"/>
    <n v="0"/>
    <n v="36.938438774771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69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6.0789999999999997"/>
    <n v="6.0789999999999997"/>
    <n v="6.0789999999999997"/>
    <n v="6.0789999999999997"/>
    <m/>
    <n v="415.98"/>
    <n v="215.17"/>
    <m/>
    <n v="3836.7608499999997"/>
    <n v="3836.7608499999997"/>
    <n v="3334.5746599999998"/>
    <n v="0"/>
    <n v="371.345429814564"/>
    <n v="0"/>
    <n v="0"/>
    <n v="0"/>
    <n v="542.94939504560227"/>
    <n v="1536.8349796326559"/>
    <n v="1281.2218185771542"/>
    <n v="26.789997590224026"/>
    <n v="0"/>
    <n v="0"/>
    <n v="0"/>
    <n v="0"/>
    <n v="57.382394406575756"/>
    <m/>
    <n v="7.1573992738708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81610088254561"/>
    <n v="0"/>
    <n v="0"/>
    <n v="0"/>
    <n v="2479.7399999999998"/>
    <n v="22"/>
    <m/>
    <m/>
    <m/>
    <m/>
    <m/>
    <n v="400.11977999999993"/>
    <m/>
    <m/>
    <m/>
    <n v="1294.3034286654088"/>
    <m/>
    <m/>
    <m/>
    <m/>
    <m/>
    <m/>
    <m/>
    <m/>
    <m/>
    <m/>
    <m/>
    <m/>
    <n v="2934.9376000000002"/>
    <n v="-441.42979000000014"/>
    <m/>
    <m/>
    <m/>
    <m/>
    <n v="-667.41341000000011"/>
    <n v="165.22722000000005"/>
    <n v="31"/>
    <n v="172.12016001559368"/>
    <n v="0"/>
    <n v="0"/>
    <n v="0"/>
    <n v="0"/>
    <n v="0"/>
    <n v="0"/>
    <n v="0"/>
    <n v="22.598738531571598"/>
    <n v="0"/>
    <n v="0"/>
    <n v="165.22408979619536"/>
    <n v="0"/>
    <n v="0"/>
    <n v="0"/>
    <n v="1.6869811991657642"/>
    <n v="0"/>
    <n v="-15.098532858504313"/>
    <m/>
    <n v="0"/>
    <n v="0"/>
    <n v="0"/>
    <n v="0"/>
    <n v="-1.8245041341654513"/>
    <n v="-0.46661251866874665"/>
    <n v="0"/>
    <n v="0"/>
    <m/>
    <m/>
    <m/>
    <n v="1536.8349796326559"/>
    <n v="0"/>
    <n v="0"/>
    <n v="-667.41341000000011"/>
    <n v="165.22721999999999"/>
    <n v="0"/>
    <n v="0"/>
    <n v="-674.32062856406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0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23.474"/>
    <n v="23.474"/>
    <n v="23.474"/>
    <n v="23.474"/>
    <m/>
    <n v="415.98"/>
    <n v="215.17"/>
    <m/>
    <n v="14815.615100000001"/>
    <n v="14815.615100000001"/>
    <n v="12876.427960000001"/>
    <n v="0"/>
    <n v="1433.9468036629505"/>
    <n v="0"/>
    <n v="0"/>
    <n v="0"/>
    <n v="2096.593864007315"/>
    <n v="5934.4734844377308"/>
    <n v="4947.4257228623328"/>
    <n v="103.44931788664564"/>
    <n v="0"/>
    <n v="0"/>
    <n v="0"/>
    <n v="0"/>
    <n v="221.58156379338038"/>
    <m/>
    <n v="27.638228418299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51451146762421"/>
    <n v="0"/>
    <n v="0"/>
    <n v="0"/>
    <n v="4834.8100000000004"/>
    <n v="48"/>
    <m/>
    <m/>
    <m/>
    <m/>
    <m/>
    <m/>
    <m/>
    <m/>
    <m/>
    <n v="4997.9402343299571"/>
    <m/>
    <m/>
    <m/>
    <m/>
    <m/>
    <m/>
    <m/>
    <m/>
    <m/>
    <m/>
    <m/>
    <m/>
    <n v="12874.233799999998"/>
    <n v="-1941.4113000000034"/>
    <m/>
    <m/>
    <m/>
    <m/>
    <n v="-2577.2104600000007"/>
    <n v="638.02332000000013"/>
    <n v="31"/>
    <n v="664.6403415374316"/>
    <n v="0"/>
    <n v="0"/>
    <n v="0"/>
    <n v="0"/>
    <n v="0"/>
    <n v="0"/>
    <n v="0"/>
    <n v="87.264811365374499"/>
    <n v="0"/>
    <n v="0"/>
    <n v="638.01123274813108"/>
    <n v="0"/>
    <n v="0"/>
    <n v="0"/>
    <n v="6.5142616662637138"/>
    <n v="0"/>
    <n v="-58.302839335504359"/>
    <m/>
    <n v="0"/>
    <n v="0"/>
    <n v="0"/>
    <n v="0"/>
    <n v="-7.0453051563414704"/>
    <n v="-1.8018197504902389"/>
    <n v="0"/>
    <n v="0"/>
    <m/>
    <m/>
    <m/>
    <n v="5934.4734844377308"/>
    <n v="0"/>
    <n v="0"/>
    <n v="-2577.2104600000011"/>
    <n v="638.02332000000024"/>
    <n v="0"/>
    <n v="0"/>
    <n v="-2603.8826180149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1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92.894000000000005"/>
    <n v="92.894000000000005"/>
    <n v="92.894000000000005"/>
    <n v="92.894000000000005"/>
    <m/>
    <n v="228.79"/>
    <n v="118.34"/>
    <m/>
    <n v="32246.294220000003"/>
    <n v="32246.294220000003"/>
    <n v="28025.190860000002"/>
    <n v="0"/>
    <n v="3121.0181438487789"/>
    <n v="0"/>
    <n v="0"/>
    <n v="0"/>
    <n v="4563.284686108148"/>
    <n v="12916.517803733823"/>
    <n v="10768.185686494175"/>
    <n v="225.15981573950512"/>
    <n v="0"/>
    <n v="0"/>
    <n v="0"/>
    <n v="0"/>
    <n v="482.27736145787941"/>
    <m/>
    <n v="60.15523876967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94599410200235"/>
    <n v="0"/>
    <n v="0"/>
    <n v="0"/>
    <n v="13737.93"/>
    <n v="88"/>
    <m/>
    <m/>
    <m/>
    <m/>
    <m/>
    <m/>
    <m/>
    <m/>
    <m/>
    <n v="10878.131680596178"/>
    <m/>
    <m/>
    <m/>
    <m/>
    <m/>
    <m/>
    <m/>
    <m/>
    <m/>
    <m/>
    <m/>
    <m/>
    <n v="28023.984100000001"/>
    <n v="-4222.3401199999971"/>
    <m/>
    <m/>
    <m/>
    <m/>
    <n v="-5609.8686599999992"/>
    <n v="1388.7652999999991"/>
    <n v="31"/>
    <n v="1446.6049645450003"/>
    <n v="0"/>
    <n v="0"/>
    <n v="0"/>
    <n v="0"/>
    <n v="0"/>
    <n v="0"/>
    <n v="0"/>
    <n v="189.93386567420021"/>
    <n v="0"/>
    <n v="0"/>
    <n v="1388.6460978188243"/>
    <n v="0"/>
    <n v="0"/>
    <n v="0"/>
    <n v="14.178440094328423"/>
    <n v="0"/>
    <n v="-126.89746853870884"/>
    <m/>
    <n v="0"/>
    <n v="0"/>
    <n v="0"/>
    <n v="0"/>
    <n v="-15.334268444077111"/>
    <n v="-3.9217020595606371"/>
    <n v="0"/>
    <n v="0"/>
    <m/>
    <m/>
    <m/>
    <n v="12916.517803733823"/>
    <n v="0"/>
    <n v="0"/>
    <n v="-5609.8686600000001"/>
    <n v="1388.7652999999991"/>
    <n v="0"/>
    <n v="0"/>
    <n v="-5667.410307354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2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7.370999999999999"/>
    <n v="16.32874"/>
    <n v="17.370999999999999"/>
    <n v="16.32874"/>
    <m/>
    <n v="415.98"/>
    <n v="215.17"/>
    <m/>
    <n v="10963.70665"/>
    <n v="10963.70665"/>
    <n v="9528.6883399999988"/>
    <n v="0"/>
    <n v="1061.1352954941258"/>
    <n v="0"/>
    <n v="0"/>
    <n v="0"/>
    <n v="1551.5008951039902"/>
    <n v="4391.5710530019514"/>
    <n v="3661.145617783146"/>
    <n v="76.553552909982159"/>
    <n v="0"/>
    <n v="0"/>
    <n v="0"/>
    <n v="0"/>
    <n v="163.97262267422724"/>
    <m/>
    <n v="20.4525716049367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381254950332284"/>
    <n v="0"/>
    <n v="0"/>
    <n v="0"/>
    <n v="3998.42"/>
    <n v="4"/>
    <m/>
    <m/>
    <m/>
    <m/>
    <n v="571.72130039999934"/>
    <m/>
    <m/>
    <m/>
    <m/>
    <n v="3698.5268727334783"/>
    <m/>
    <m/>
    <m/>
    <m/>
    <m/>
    <m/>
    <m/>
    <m/>
    <m/>
    <m/>
    <m/>
    <m/>
    <n v="8957.658199999998"/>
    <n v="-1348.2560510000021"/>
    <m/>
    <m/>
    <m/>
    <m/>
    <n v="-1907.1620900000003"/>
    <n v="472.14378000000011"/>
    <n v="31"/>
    <n v="491.84064807219784"/>
    <n v="0"/>
    <n v="0"/>
    <n v="0"/>
    <n v="0"/>
    <n v="0"/>
    <n v="0"/>
    <n v="0"/>
    <n v="64.576852612589391"/>
    <n v="0"/>
    <n v="0"/>
    <n v="472.13483531003658"/>
    <n v="0"/>
    <n v="0"/>
    <n v="0"/>
    <n v="4.8206202353526066"/>
    <n v="0"/>
    <n v="-43.144697201032727"/>
    <m/>
    <n v="0"/>
    <n v="0"/>
    <n v="0"/>
    <n v="0"/>
    <n v="-5.2135978474400417"/>
    <n v="-1.3333650373079138"/>
    <n v="0"/>
    <n v="0"/>
    <m/>
    <m/>
    <m/>
    <n v="4391.5710530019514"/>
    <n v="0"/>
    <n v="0"/>
    <n v="-1907.1620900000007"/>
    <n v="472.14377999999988"/>
    <n v="0"/>
    <n v="0"/>
    <n v="-1926.899759629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3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2.82"/>
    <n v="2.82"/>
    <n v="2.82"/>
    <n v="2.82"/>
    <m/>
    <n v="415.98"/>
    <n v="215.17"/>
    <m/>
    <n v="1779.8429999999998"/>
    <n v="1779.8429999999998"/>
    <n v="1546.8827999999999"/>
    <n v="0"/>
    <n v="172.2642066256079"/>
    <n v="0"/>
    <n v="0"/>
    <n v="0"/>
    <n v="251.86992828238172"/>
    <n v="712.9255868669336"/>
    <n v="594.34866398874397"/>
    <n v="12.427667906634603"/>
    <n v="0"/>
    <n v="0"/>
    <n v="0"/>
    <n v="0"/>
    <n v="26.619238727840703"/>
    <m/>
    <n v="3.3202608903299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684554118897616"/>
    <n v="0"/>
    <n v="0"/>
    <n v="0"/>
    <n v="649.1"/>
    <n v="1"/>
    <m/>
    <m/>
    <m/>
    <m/>
    <m/>
    <m/>
    <m/>
    <m/>
    <m/>
    <n v="600.41711940063374"/>
    <m/>
    <m/>
    <m/>
    <m/>
    <m/>
    <m/>
    <m/>
    <m/>
    <m/>
    <m/>
    <m/>
    <m/>
    <n v="1546.8827999999999"/>
    <n v="-232.99019999999996"/>
    <m/>
    <m/>
    <m/>
    <m/>
    <n v="-309.60780000000005"/>
    <n v="76.647600000000011"/>
    <n v="31"/>
    <n v="79.845180332945574"/>
    <n v="0"/>
    <n v="0"/>
    <n v="0"/>
    <n v="0"/>
    <n v="0"/>
    <n v="0"/>
    <n v="0"/>
    <n v="10.483375992602674"/>
    <n v="0"/>
    <n v="0"/>
    <n v="76.64614792322277"/>
    <n v="0"/>
    <n v="0"/>
    <n v="0"/>
    <n v="0.78257723007854096"/>
    <n v="0"/>
    <n v="-7.0040899261362313"/>
    <m/>
    <n v="0"/>
    <n v="0"/>
    <n v="0"/>
    <n v="0"/>
    <n v="-0.84637303147665577"/>
    <n v="-0.21645785534559403"/>
    <n v="0"/>
    <n v="0"/>
    <m/>
    <m/>
    <m/>
    <n v="712.9255868669336"/>
    <n v="0"/>
    <n v="0"/>
    <n v="-309.6078"/>
    <n v="76.647600000000011"/>
    <n v="0"/>
    <n v="0"/>
    <n v="-312.8120040386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4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360.45"/>
    <n v="4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75"/>
    <s v="Refaturamento - 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013.7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76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.1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77"/>
    <s v="Regular"/>
    <s v="Convencional"/>
    <s v="B2"/>
    <s v="Rural"/>
    <s v="Agropecuária rural"/>
    <s v="IRRIG./AQUIC."/>
    <s v="Não se aplica"/>
    <s v="Não se aplica"/>
    <s v="CATIVO"/>
    <x v="4"/>
    <n v="0"/>
    <n v="0"/>
    <n v="19.024999999999999"/>
    <n v="19.024999999999999"/>
    <n v="19.024999999999999"/>
    <n v="19.024999999999999"/>
    <m/>
    <n v="415.98"/>
    <n v="215.17"/>
    <m/>
    <n v="12007.62875"/>
    <n v="12007.62875"/>
    <n v="10435.9735"/>
    <n v="0"/>
    <n v="1162.1725287419115"/>
    <n v="0"/>
    <n v="0"/>
    <n v="0"/>
    <n v="1699.2288601320256"/>
    <n v="4809.7196064338341"/>
    <n v="4009.7458625481754"/>
    <n v="83.842688625433809"/>
    <n v="0"/>
    <n v="0"/>
    <n v="0"/>
    <n v="0"/>
    <n v="179.58546694935083"/>
    <m/>
    <n v="22.3999870349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94055468482366"/>
    <n v="0"/>
    <n v="0"/>
    <n v="0"/>
    <n v="0"/>
    <n v="0"/>
    <m/>
    <m/>
    <m/>
    <m/>
    <m/>
    <n v="1252.2254999999998"/>
    <m/>
    <m/>
    <m/>
    <n v="4050.6864172329992"/>
    <m/>
    <m/>
    <m/>
    <m/>
    <m/>
    <m/>
    <m/>
    <m/>
    <m/>
    <m/>
    <m/>
    <m/>
    <n v="9186.1615999999995"/>
    <n v="-1380.5436499999996"/>
    <m/>
    <m/>
    <m/>
    <m/>
    <n v="-2088.7547500000001"/>
    <n v="517.09950000000003"/>
    <n v="31"/>
    <n v="538.67182831003083"/>
    <n v="0"/>
    <n v="0"/>
    <n v="0"/>
    <n v="0"/>
    <n v="0"/>
    <n v="0"/>
    <n v="0"/>
    <n v="70.72561285789584"/>
    <n v="0"/>
    <n v="0"/>
    <n v="517.08970363096205"/>
    <n v="0"/>
    <n v="0"/>
    <n v="0"/>
    <n v="5.2796212064695851"/>
    <n v="0"/>
    <n v="-47.252769803099909"/>
    <m/>
    <n v="0"/>
    <n v="0"/>
    <n v="0"/>
    <n v="0"/>
    <n v="-5.7100166396607506"/>
    <n v="-1.4603229425354343"/>
    <n v="0"/>
    <n v="0"/>
    <m/>
    <m/>
    <m/>
    <n v="4809.7196064338341"/>
    <n v="0"/>
    <n v="0"/>
    <n v="-2088.7547500000001"/>
    <n v="517.09950000000026"/>
    <n v="0"/>
    <n v="0"/>
    <n v="-2110.3717648348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8"/>
    <s v="Refaturamento - Regular"/>
    <s v="Convencional"/>
    <s v="B2"/>
    <s v="Rural"/>
    <s v="Agropecuária rural"/>
    <s v="IRRIG./AQUIC."/>
    <s v="Não se aplica"/>
    <s v="Não se aplica"/>
    <s v="CATIVO"/>
    <x v="4"/>
    <n v="0"/>
    <n v="0"/>
    <n v="-3.2789999999999999"/>
    <n v="-3.2789999999999999"/>
    <n v="-3.2789999999999999"/>
    <n v="-3.2789999999999999"/>
    <m/>
    <n v="415.98"/>
    <n v="215.17"/>
    <m/>
    <n v="-2069.5408500000003"/>
    <n v="-2069.5408500000003"/>
    <n v="-1798.66266"/>
    <n v="0"/>
    <n v="-200.30295515083984"/>
    <n v="0"/>
    <n v="0"/>
    <n v="0"/>
    <n v="-292.86577831132257"/>
    <n v="-828.96560260165791"/>
    <n v="-691.08839334010349"/>
    <n v="-14.45046917228896"/>
    <n v="0"/>
    <n v="0"/>
    <n v="0"/>
    <n v="0"/>
    <n v="-30.951944605882858"/>
    <m/>
    <n v="-3.8606863331177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056193367229266"/>
    <n v="0"/>
    <n v="0"/>
    <n v="0"/>
    <n v="0"/>
    <n v="0"/>
    <m/>
    <m/>
    <m/>
    <m/>
    <m/>
    <n v="-215.82377999999997"/>
    <m/>
    <m/>
    <m/>
    <n v="-698.14458670733279"/>
    <m/>
    <m/>
    <m/>
    <m/>
    <m/>
    <m/>
    <m/>
    <m/>
    <m/>
    <m/>
    <m/>
    <m/>
    <n v="-1583.3215999999998"/>
    <n v="237.83779000000027"/>
    <m/>
    <m/>
    <m/>
    <m/>
    <n v="360.00141000000008"/>
    <n v="-89.123220000000018"/>
    <n v="31"/>
    <n v="-92.841257557350445"/>
    <n v="0"/>
    <n v="0"/>
    <n v="0"/>
    <n v="0"/>
    <n v="0"/>
    <n v="0"/>
    <n v="0"/>
    <n v="-12.189712723313562"/>
    <n v="0"/>
    <n v="0"/>
    <n v="-89.121531574555661"/>
    <n v="0"/>
    <n v="0"/>
    <n v="0"/>
    <n v="-0.90995416220834624"/>
    <n v="0"/>
    <n v="8.1441173290073436"/>
    <m/>
    <n v="0"/>
    <n v="0"/>
    <n v="0"/>
    <n v="0"/>
    <n v="0.98413374830210643"/>
    <n v="0.25168982541780238"/>
    <n v="0"/>
    <n v="0"/>
    <m/>
    <m/>
    <m/>
    <n v="-828.96560260165791"/>
    <n v="0"/>
    <n v="0"/>
    <n v="360.00141000000019"/>
    <n v="-89.123219999999947"/>
    <n v="0"/>
    <n v="0"/>
    <n v="363.72714937679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79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.376"/>
    <n v="0.376"/>
    <n v="0.376"/>
    <n v="0.376"/>
    <m/>
    <n v="415.98"/>
    <n v="215.17"/>
    <m/>
    <n v="237.3124"/>
    <n v="237.3124"/>
    <n v="206.25103999999999"/>
    <n v="0"/>
    <n v="22.968560883414387"/>
    <n v="0"/>
    <n v="0"/>
    <n v="0"/>
    <n v="33.582657104317562"/>
    <n v="95.056744915591153"/>
    <n v="79.24648853183254"/>
    <n v="1.6570223875512806"/>
    <n v="0"/>
    <n v="0"/>
    <n v="0"/>
    <n v="0"/>
    <n v="3.5492318303787602"/>
    <m/>
    <n v="0.44270145204399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0912738825196828"/>
    <n v="0"/>
    <n v="0"/>
    <n v="0"/>
    <n v="0"/>
    <n v="0"/>
    <m/>
    <m/>
    <m/>
    <m/>
    <m/>
    <n v="24.74832"/>
    <m/>
    <m/>
    <m/>
    <n v="80.055615920084506"/>
    <m/>
    <m/>
    <m/>
    <m/>
    <m/>
    <m/>
    <m/>
    <m/>
    <m/>
    <m/>
    <m/>
    <m/>
    <n v="183.43360000000001"/>
    <n v="-25.430559999999957"/>
    <m/>
    <m/>
    <m/>
    <m/>
    <n v="-41.281040000000004"/>
    <n v="10.219680000000002"/>
    <n v="31"/>
    <n v="10.646024044392732"/>
    <n v="0"/>
    <n v="0"/>
    <n v="0"/>
    <n v="0"/>
    <n v="0"/>
    <n v="0"/>
    <n v="0"/>
    <n v="1.3977834656803623"/>
    <n v="0"/>
    <n v="0"/>
    <n v="10.219486389763034"/>
    <n v="0"/>
    <n v="0"/>
    <n v="0"/>
    <n v="0.10434363067713881"/>
    <n v="0"/>
    <n v="-0.93387865681816251"/>
    <m/>
    <n v="0"/>
    <n v="0"/>
    <n v="0"/>
    <n v="0"/>
    <n v="-0.11284973753022021"/>
    <n v="-2.886104737941253E-2"/>
    <n v="0"/>
    <n v="0"/>
    <m/>
    <m/>
    <m/>
    <n v="95.056744915591153"/>
    <n v="0"/>
    <n v="0"/>
    <n v="-41.281040000000004"/>
    <n v="10.219679999999997"/>
    <n v="0"/>
    <n v="0"/>
    <n v="-41.708267205146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0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6.582000000000001"/>
    <n v="6.6327999999999996"/>
    <n v="16.582000000000001"/>
    <n v="6.6327999999999996"/>
    <m/>
    <n v="415.98"/>
    <n v="215.17"/>
    <m/>
    <n v="10465.729300000001"/>
    <n v="10465.729300000001"/>
    <n v="9095.8902799999996"/>
    <n v="0"/>
    <n v="1012.9379695978122"/>
    <n v="0"/>
    <n v="0"/>
    <n v="0"/>
    <n v="1481.0309045313666"/>
    <n v="4192.1035749742887"/>
    <n v="3494.8544490288491"/>
    <n v="73.076450080785463"/>
    <n v="0"/>
    <n v="0"/>
    <n v="0"/>
    <n v="0"/>
    <n v="156.5248994982463"/>
    <m/>
    <n v="19.523604994131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683378595729096"/>
    <n v="0"/>
    <n v="0"/>
    <n v="0"/>
    <n v="0"/>
    <n v="0"/>
    <m/>
    <m/>
    <m/>
    <m/>
    <m/>
    <m/>
    <n v="5894.1050640000003"/>
    <m/>
    <m/>
    <n v="3530.5378276245783"/>
    <m/>
    <m/>
    <m/>
    <m/>
    <m/>
    <m/>
    <m/>
    <m/>
    <m/>
    <m/>
    <m/>
    <m/>
    <n v="3200.4335999999998"/>
    <n v="-483.51984800000037"/>
    <m/>
    <m/>
    <m/>
    <m/>
    <n v="-1820.5377800000003"/>
    <n v="450.69876000000011"/>
    <n v="31"/>
    <n v="469.50098591521328"/>
    <n v="0"/>
    <n v="0"/>
    <n v="0"/>
    <n v="0"/>
    <n v="0"/>
    <n v="0"/>
    <n v="0"/>
    <n v="61.643737840190852"/>
    <n v="0"/>
    <n v="0"/>
    <n v="450.69022158258122"/>
    <n v="0"/>
    <n v="0"/>
    <n v="0"/>
    <n v="4.6016651167242415"/>
    <n v="0"/>
    <n v="-41.185042253613688"/>
    <m/>
    <n v="0"/>
    <n v="0"/>
    <n v="0"/>
    <n v="0"/>
    <n v="-4.9767934779949883"/>
    <n v="-1.2728028926739867"/>
    <n v="0"/>
    <n v="0"/>
    <m/>
    <m/>
    <m/>
    <n v="4192.1035749742887"/>
    <n v="0"/>
    <n v="0"/>
    <n v="-1820.5377800000006"/>
    <n v="450.69876000000022"/>
    <n v="0"/>
    <n v="0"/>
    <n v="-1839.378954244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1"/>
    <s v="Refaturamento - Regular"/>
    <s v="Convencional"/>
    <s v="B2"/>
    <s v="Rural"/>
    <s v="Agropecuária rural"/>
    <s v="IRRIG./AQUIC. PR"/>
    <s v="Não se aplica"/>
    <s v="Não se aplica"/>
    <s v="CATIVO"/>
    <x v="4"/>
    <n v="0"/>
    <n v="0"/>
    <n v="-1.125"/>
    <n v="-0.45"/>
    <n v="-1.125"/>
    <n v="-0.45"/>
    <m/>
    <n v="415.98"/>
    <n v="215.17"/>
    <m/>
    <n v="-710.04375000000005"/>
    <n v="-710.04375000000005"/>
    <n v="-617.10750000000007"/>
    <n v="0"/>
    <n v="-68.722422855960602"/>
    <n v="0"/>
    <n v="0"/>
    <n v="0"/>
    <n v="-100.48002458073739"/>
    <n v="-284.41180327138312"/>
    <n v="-237.10717978274363"/>
    <n v="-4.9578462393489113"/>
    <n v="0"/>
    <n v="0"/>
    <n v="0"/>
    <n v="0"/>
    <n v="-10.619377152064111"/>
    <m/>
    <n v="-1.3245721636954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4209263611262348"/>
    <n v="0"/>
    <n v="0"/>
    <n v="0"/>
    <n v="0"/>
    <n v="0"/>
    <m/>
    <m/>
    <m/>
    <m/>
    <m/>
    <m/>
    <n v="-399.88349999999997"/>
    <m/>
    <m/>
    <n v="-239.52810614386988"/>
    <m/>
    <m/>
    <m/>
    <m/>
    <m/>
    <m/>
    <m/>
    <m/>
    <m/>
    <m/>
    <m/>
    <m/>
    <n v="-217.22399999999999"/>
    <n v="32.680500000000052"/>
    <m/>
    <m/>
    <m/>
    <m/>
    <n v="123.51375000000002"/>
    <n v="-30.577500000000008"/>
    <n v="31"/>
    <n v="-31.853130451973016"/>
    <n v="0"/>
    <n v="0"/>
    <n v="0"/>
    <n v="0"/>
    <n v="0"/>
    <n v="0"/>
    <n v="0"/>
    <n v="-4.1821978693893698"/>
    <n v="0"/>
    <n v="0"/>
    <n v="-30.576920714051653"/>
    <n v="0"/>
    <n v="0"/>
    <n v="0"/>
    <n v="-0.31219836306324789"/>
    <n v="0"/>
    <n v="2.7941848109585976"/>
    <m/>
    <n v="0"/>
    <n v="0"/>
    <n v="0"/>
    <n v="0"/>
    <n v="0.33764881574866479"/>
    <n v="8.6352867824040169E-2"/>
    <n v="0"/>
    <n v="0"/>
    <m/>
    <m/>
    <m/>
    <n v="-284.41180327138312"/>
    <n v="0"/>
    <n v="0"/>
    <n v="123.51375000000002"/>
    <n v="-30.577500000000015"/>
    <n v="0"/>
    <n v="0"/>
    <n v="124.79202288773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2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0.245"/>
    <n v="9.8000000000000004E-2"/>
    <n v="0.245"/>
    <n v="9.8000000000000004E-2"/>
    <m/>
    <n v="415.98"/>
    <n v="215.17"/>
    <m/>
    <n v="154.63175000000001"/>
    <n v="154.63175000000001"/>
    <n v="134.39229999999998"/>
    <n v="0"/>
    <n v="14.966216533075864"/>
    <n v="0"/>
    <n v="0"/>
    <n v="0"/>
    <n v="21.882316464249474"/>
    <n v="61.938570490212321"/>
    <n v="51.636674708241948"/>
    <n v="1.0797087365693185"/>
    <n v="0"/>
    <n v="0"/>
    <n v="0"/>
    <n v="0"/>
    <n v="2.3126643575606285"/>
    <m/>
    <n v="0.28846238231590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722396308971331"/>
    <n v="0"/>
    <n v="0"/>
    <n v="0"/>
    <n v="0"/>
    <n v="0"/>
    <m/>
    <m/>
    <m/>
    <m/>
    <m/>
    <m/>
    <n v="87.085740000000001"/>
    <m/>
    <m/>
    <n v="52.163898671331658"/>
    <m/>
    <m/>
    <m/>
    <m/>
    <m/>
    <m/>
    <m/>
    <m/>
    <m/>
    <m/>
    <m/>
    <m/>
    <n v="48.272000000000006"/>
    <n v="-6.1881799999999885"/>
    <m/>
    <m/>
    <m/>
    <m/>
    <n v="-26.898550000000004"/>
    <n v="6.6591000000000014"/>
    <n v="31"/>
    <n v="6.9369039650963487"/>
    <n v="0"/>
    <n v="0"/>
    <n v="0"/>
    <n v="0"/>
    <n v="0"/>
    <n v="0"/>
    <n v="0"/>
    <n v="0.91078975822257746"/>
    <n v="0"/>
    <n v="0"/>
    <n v="6.658973844393465"/>
    <n v="0"/>
    <n v="0"/>
    <n v="0"/>
    <n v="6.7989865733773969E-2"/>
    <n v="0"/>
    <n v="-0.60851135883098273"/>
    <m/>
    <n v="0"/>
    <n v="0"/>
    <n v="0"/>
    <n v="0"/>
    <n v="-7.3532408763042678E-2"/>
    <n v="-1.880573565945759E-2"/>
    <n v="0"/>
    <n v="0"/>
    <m/>
    <m/>
    <m/>
    <n v="61.938570490212321"/>
    <n v="0"/>
    <n v="0"/>
    <n v="-26.898550000000014"/>
    <n v="6.6591000000000022"/>
    <n v="0"/>
    <n v="0"/>
    <n v="-27.176929428885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3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38.0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184"/>
    <s v="Regular"/>
    <s v="Convencional"/>
    <s v="B2"/>
    <s v="Rural"/>
    <s v="Aquicultura"/>
    <s v="IRRIG./AQUIC."/>
    <s v="Não se aplica"/>
    <s v="Não se aplica"/>
    <s v="CATIVO"/>
    <x v="4"/>
    <n v="0"/>
    <n v="0"/>
    <n v="0.81200000000000006"/>
    <n v="0.81200000000000006"/>
    <n v="0.81200000000000006"/>
    <n v="0.81200000000000006"/>
    <m/>
    <n v="415.98"/>
    <n v="215.17"/>
    <m/>
    <n v="512.49380000000008"/>
    <n v="512.49380000000008"/>
    <n v="445.41448000000003"/>
    <n v="0"/>
    <n v="49.602317652480011"/>
    <n v="0"/>
    <n v="0"/>
    <n v="0"/>
    <n v="72.524248852941128"/>
    <n v="205.28211933898942"/>
    <n v="171.13869331874474"/>
    <n v="3.5784632412011699"/>
    <n v="0"/>
    <n v="0"/>
    <n v="0"/>
    <n v="0"/>
    <n v="7.6648304422009401"/>
    <m/>
    <n v="0.956046752818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473708490973359"/>
    <n v="0"/>
    <n v="0"/>
    <n v="0"/>
    <n v="0"/>
    <n v="0"/>
    <m/>
    <m/>
    <m/>
    <m/>
    <m/>
    <n v="53.445840000000004"/>
    <m/>
    <m/>
    <m/>
    <n v="172.88606416784208"/>
    <m/>
    <m/>
    <m/>
    <m/>
    <m/>
    <m/>
    <m/>
    <m/>
    <m/>
    <m/>
    <m/>
    <m/>
    <n v="391.00319999999999"/>
    <n v="-60.019720000000007"/>
    <m/>
    <m/>
    <m/>
    <m/>
    <n v="-89.149480000000025"/>
    <n v="22.070160000000008"/>
    <n v="31"/>
    <n v="22.990881712890769"/>
    <n v="0"/>
    <n v="0"/>
    <n v="0"/>
    <n v="0"/>
    <n v="0"/>
    <n v="0"/>
    <n v="0"/>
    <n v="3.0186174843948237"/>
    <n v="0"/>
    <n v="0"/>
    <n v="22.069741884275487"/>
    <n v="0"/>
    <n v="0"/>
    <n v="0"/>
    <n v="0.22533784071765095"/>
    <n v="0"/>
    <n v="-2.0167805035541164"/>
    <m/>
    <n v="0"/>
    <n v="0"/>
    <n v="0"/>
    <n v="0"/>
    <n v="-0.24370741190036949"/>
    <n v="-6.2327581042773916E-2"/>
    <n v="0"/>
    <n v="0"/>
    <m/>
    <m/>
    <m/>
    <n v="205.28211933898942"/>
    <n v="0"/>
    <n v="0"/>
    <n v="-89.14948000000004"/>
    <n v="22.070160000000016"/>
    <n v="0"/>
    <n v="0"/>
    <n v="-90.072108964306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5"/>
    <s v="Regular"/>
    <s v="Convencional"/>
    <s v="B2"/>
    <s v="Rural"/>
    <s v="Aquicultura"/>
    <s v="IRRIG./AQUIC. PR"/>
    <s v="Não se aplica"/>
    <s v="Não se aplica"/>
    <s v="CATIVO"/>
    <x v="4"/>
    <n v="0"/>
    <n v="0"/>
    <n v="3.42"/>
    <n v="1.3680000000000001"/>
    <n v="3.42"/>
    <n v="1.3680000000000001"/>
    <m/>
    <n v="415.98"/>
    <n v="215.17"/>
    <m/>
    <n v="2158.5330000000004"/>
    <n v="2158.5330000000004"/>
    <n v="1876.0067999999999"/>
    <n v="0"/>
    <n v="208.91616548212022"/>
    <n v="0"/>
    <n v="0"/>
    <n v="0"/>
    <n v="305.45927472544167"/>
    <n v="864.6118819450046"/>
    <n v="720.8058265395407"/>
    <n v="15.07185256762069"/>
    <n v="0"/>
    <n v="0"/>
    <n v="0"/>
    <n v="0"/>
    <n v="32.282906542274894"/>
    <m/>
    <n v="4.0266993776342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596161378237541"/>
    <n v="0"/>
    <n v="0"/>
    <n v="0"/>
    <n v="0"/>
    <n v="0"/>
    <m/>
    <m/>
    <m/>
    <m/>
    <m/>
    <m/>
    <n v="1215.6458399999997"/>
    <m/>
    <m/>
    <n v="728.16544267736447"/>
    <m/>
    <m/>
    <m/>
    <m/>
    <m/>
    <m/>
    <m/>
    <m/>
    <m/>
    <m/>
    <m/>
    <m/>
    <n v="661.32640000000004"/>
    <n v="-98.504479999999944"/>
    <m/>
    <m/>
    <m/>
    <m/>
    <n v="-375.48180000000008"/>
    <n v="92.955600000000018"/>
    <n v="31"/>
    <n v="96.833516573997713"/>
    <n v="0"/>
    <n v="0"/>
    <n v="0"/>
    <n v="0"/>
    <n v="0"/>
    <n v="0"/>
    <n v="0"/>
    <n v="12.713881522943723"/>
    <n v="0"/>
    <n v="0"/>
    <n v="92.953838970716902"/>
    <n v="0"/>
    <n v="0"/>
    <n v="0"/>
    <n v="0.94908302371227382"/>
    <n v="0"/>
    <n v="-8.494321825314131"/>
    <m/>
    <n v="0"/>
    <n v="0"/>
    <n v="0"/>
    <n v="0"/>
    <n v="-1.0264523998759394"/>
    <n v="-0.26251271818508171"/>
    <n v="0"/>
    <n v="0"/>
    <m/>
    <m/>
    <m/>
    <n v="864.6118819450046"/>
    <n v="0"/>
    <n v="0"/>
    <n v="-375.48180000000025"/>
    <n v="92.955600000000004"/>
    <n v="0"/>
    <n v="0"/>
    <n v="-379.3677495787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6"/>
    <s v="Regular"/>
    <s v="Convencional"/>
    <s v="B1"/>
    <s v="Residencial"/>
    <s v="Residencial"/>
    <s v="Não se aplica"/>
    <s v="Não se aplica"/>
    <s v="Não se aplica"/>
    <s v="CATIVO"/>
    <x v="5"/>
    <n v="0"/>
    <n v="0"/>
    <n v="667.26"/>
    <n v="667.26"/>
    <n v="667.26"/>
    <n v="667.26"/>
    <m/>
    <n v="415.98"/>
    <n v="215.17"/>
    <m/>
    <n v="421141.14899999998"/>
    <n v="421141.14899999998"/>
    <n v="366018.80039999995"/>
    <n v="0"/>
    <n v="40760.643444327354"/>
    <n v="0"/>
    <n v="0"/>
    <n v="0"/>
    <n v="59596.712179326962"/>
    <n v="168690.32875632273"/>
    <n v="140633.01047274092"/>
    <n v="2940.5977614826261"/>
    <n v="0"/>
    <n v="0"/>
    <n v="0"/>
    <n v="0"/>
    <n v="6298.5649764322652"/>
    <m/>
    <n v="785.63024173105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5.8998433111924"/>
    <n v="0"/>
    <n v="0"/>
    <n v="0"/>
    <n v="105035.1"/>
    <n v="2847"/>
    <m/>
    <m/>
    <m/>
    <m/>
    <m/>
    <m/>
    <m/>
    <m/>
    <m/>
    <n v="142068.91031605212"/>
    <m/>
    <m/>
    <m/>
    <m/>
    <m/>
    <m/>
    <m/>
    <m/>
    <m/>
    <m/>
    <m/>
    <m/>
    <n v="366018.80039999995"/>
    <n v="-55122.378600000055"/>
    <m/>
    <m/>
    <m/>
    <m/>
    <n v="-73258.47540000001"/>
    <n v="18136.126800000005"/>
    <n v="29"/>
    <n v="18892.728733674128"/>
    <n v="0"/>
    <n v="0"/>
    <n v="0"/>
    <n v="0"/>
    <n v="0"/>
    <n v="0"/>
    <n v="0"/>
    <n v="2480.5452002922248"/>
    <n v="0"/>
    <n v="0"/>
    <n v="18135.783213918272"/>
    <n v="0"/>
    <n v="0"/>
    <n v="0"/>
    <n v="185.17109310007345"/>
    <n v="0"/>
    <n v="-1657.2868950757693"/>
    <m/>
    <n v="0"/>
    <n v="0"/>
    <n v="0"/>
    <n v="0"/>
    <n v="-200.26626559684792"/>
    <n v="-51.21761296379475"/>
    <n v="0"/>
    <n v="0"/>
    <m/>
    <m/>
    <m/>
    <n v="168690.32875632273"/>
    <n v="0"/>
    <n v="0"/>
    <n v="-73258.475399999996"/>
    <n v="18136.126799999998"/>
    <n v="0"/>
    <n v="0"/>
    <n v="-74016.644615176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7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3.3889999999999998"/>
    <n v="-3.3889999999999998"/>
    <n v="-3.3889999999999998"/>
    <n v="-3.3889999999999998"/>
    <m/>
    <n v="415.98"/>
    <n v="215.17"/>
    <m/>
    <n v="-2138.9673499999999"/>
    <n v="-2138.9673499999999"/>
    <n v="-1859.0020599999998"/>
    <n v="0"/>
    <n v="-207.02248094120043"/>
    <n v="0"/>
    <n v="0"/>
    <n v="0"/>
    <n v="-302.69049182588356"/>
    <n v="-856.77475669930425"/>
    <n v="-714.27220647441618"/>
    <n v="-14.935236360136408"/>
    <n v="0"/>
    <n v="0"/>
    <n v="0"/>
    <n v="0"/>
    <n v="-31.990283705195793"/>
    <m/>
    <n v="-3.990200055790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2929061669838307"/>
    <n v="0"/>
    <n v="0"/>
    <n v="0"/>
    <n v="-652.46"/>
    <n v="0"/>
    <m/>
    <m/>
    <m/>
    <m/>
    <m/>
    <m/>
    <m/>
    <m/>
    <m/>
    <n v="-721.56511264139999"/>
    <m/>
    <m/>
    <m/>
    <m/>
    <m/>
    <m/>
    <m/>
    <m/>
    <m/>
    <m/>
    <m/>
    <m/>
    <n v="-1859.5506"/>
    <n v="279.38674999999967"/>
    <m/>
    <m/>
    <m/>
    <m/>
    <n v="372.07831000000004"/>
    <n v="-92.11302000000002"/>
    <n v="29"/>
    <n v="-95.955785868209659"/>
    <n v="0"/>
    <n v="0"/>
    <n v="0"/>
    <n v="0"/>
    <n v="0"/>
    <n v="0"/>
    <n v="0"/>
    <n v="-12.598638737209399"/>
    <n v="0"/>
    <n v="0"/>
    <n v="-92.111274933262962"/>
    <n v="0"/>
    <n v="0"/>
    <n v="0"/>
    <n v="-0.94048022437452961"/>
    <n v="0"/>
    <n v="8.4173265105232815"/>
    <m/>
    <n v="0"/>
    <n v="0"/>
    <n v="0"/>
    <n v="0"/>
    <n v="1.0171482991753109"/>
    <n v="0.26013321693837499"/>
    <n v="0"/>
    <n v="0"/>
    <m/>
    <m/>
    <m/>
    <n v="-856.77475669930425"/>
    <n v="0"/>
    <n v="0"/>
    <n v="372.0783100000001"/>
    <n v="-92.113020000000006"/>
    <n v="0"/>
    <n v="0"/>
    <n v="375.929036059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8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3.0150000000000001"/>
    <n v="3.0150000000000001"/>
    <n v="3.0150000000000001"/>
    <n v="3.0150000000000001"/>
    <m/>
    <n v="415.98"/>
    <n v="215.17"/>
    <m/>
    <n v="1902.91725"/>
    <n v="1902.91725"/>
    <n v="1653.8481000000002"/>
    <n v="0"/>
    <n v="184.17609325397441"/>
    <n v="0"/>
    <n v="0"/>
    <n v="0"/>
    <n v="269.28646587637621"/>
    <n v="762.22363276730675"/>
    <n v="635.44724181775302"/>
    <n v="13.287027921455083"/>
    <n v="0"/>
    <n v="0"/>
    <n v="0"/>
    <n v="0"/>
    <n v="28.459930767531816"/>
    <m/>
    <n v="3.54985339870383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880826478183096"/>
    <n v="0"/>
    <n v="0"/>
    <n v="0"/>
    <n v="1158.1300000000001"/>
    <n v="20"/>
    <m/>
    <m/>
    <m/>
    <m/>
    <m/>
    <m/>
    <m/>
    <m/>
    <m/>
    <n v="641.93532446557128"/>
    <m/>
    <m/>
    <m/>
    <m/>
    <m/>
    <m/>
    <m/>
    <m/>
    <m/>
    <m/>
    <m/>
    <m/>
    <n v="1656.5907999999999"/>
    <n v="-246.35645"/>
    <m/>
    <m/>
    <m/>
    <m/>
    <n v="-331.01685000000009"/>
    <n v="81.947700000000026"/>
    <n v="29"/>
    <n v="85.366389611287104"/>
    <n v="0"/>
    <n v="0"/>
    <n v="0"/>
    <n v="0"/>
    <n v="0"/>
    <n v="0"/>
    <n v="0"/>
    <n v="11.208290289963543"/>
    <n v="0"/>
    <n v="0"/>
    <n v="81.946147513658275"/>
    <n v="0"/>
    <n v="0"/>
    <n v="0"/>
    <n v="0.83669161300950456"/>
    <n v="0"/>
    <n v="-7.4884152933690302"/>
    <m/>
    <n v="0"/>
    <n v="0"/>
    <n v="0"/>
    <n v="0"/>
    <n v="-0.90489882620641993"/>
    <n v="-0.23142568576842759"/>
    <n v="0"/>
    <n v="0"/>
    <m/>
    <m/>
    <m/>
    <n v="762.22363276730675"/>
    <n v="0"/>
    <n v="0"/>
    <n v="-331.01685000000009"/>
    <n v="81.947700000000054"/>
    <n v="0"/>
    <n v="0"/>
    <n v="-334.44262133914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89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5.76"/>
    <n v="5.76"/>
    <n v="5.76"/>
    <n v="5.76"/>
    <m/>
    <n v="345.46"/>
    <n v="215.17"/>
    <m/>
    <n v="3229.2287999999999"/>
    <n v="3229.2287999999999"/>
    <n v="2769.4079999999999"/>
    <n v="0"/>
    <n v="0"/>
    <n v="0"/>
    <n v="0"/>
    <n v="0"/>
    <n v="514.45772585337545"/>
    <n v="1456.1884327494815"/>
    <n v="1213.9887604876474"/>
    <n v="25.384172745466426"/>
    <n v="0"/>
    <n v="0"/>
    <n v="0"/>
    <n v="0"/>
    <n v="0"/>
    <m/>
    <n v="6.7818094781207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395142968966322"/>
    <n v="0"/>
    <n v="0"/>
    <n v="0"/>
    <n v="130.57"/>
    <n v="9"/>
    <m/>
    <m/>
    <m/>
    <m/>
    <m/>
    <m/>
    <m/>
    <n v="1800.1152"/>
    <m/>
    <n v="1226.3839034566138"/>
    <m/>
    <m/>
    <m/>
    <m/>
    <m/>
    <m/>
    <m/>
    <m/>
    <m/>
    <m/>
    <m/>
    <m/>
    <n v="969.29279999999994"/>
    <n v="-160.96440000000007"/>
    <m/>
    <m/>
    <m/>
    <m/>
    <n v="-616.37759999999992"/>
    <n v="156.55680000000004"/>
    <n v="29"/>
    <n v="179.12301608284247"/>
    <n v="0"/>
    <n v="0"/>
    <n v="0"/>
    <n v="0"/>
    <n v="0"/>
    <n v="0"/>
    <n v="0"/>
    <n v="21.412853091273632"/>
    <n v="0"/>
    <n v="0"/>
    <n v="156.55383405594421"/>
    <n v="0"/>
    <n v="0"/>
    <n v="0"/>
    <n v="1.598455618883829"/>
    <n v="0"/>
    <n v="0"/>
    <m/>
    <n v="0"/>
    <n v="0"/>
    <n v="0"/>
    <n v="0"/>
    <n v="0"/>
    <n v="-0.44212668325908577"/>
    <n v="0"/>
    <n v="0"/>
    <m/>
    <m/>
    <m/>
    <n v="1456.1884327494815"/>
    <n v="0"/>
    <n v="0"/>
    <n v="-616.3775999999998"/>
    <n v="156.55680000000007"/>
    <n v="0"/>
    <n v="0"/>
    <n v="-638.93515718522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0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2.263"/>
    <n v="12.263"/>
    <n v="12.263"/>
    <n v="12.263"/>
    <m/>
    <n v="345.46"/>
    <n v="215.17"/>
    <m/>
    <n v="6875.00569"/>
    <n v="6875.00569"/>
    <n v="5896.0504000000001"/>
    <n v="0"/>
    <n v="0"/>
    <n v="0"/>
    <n v="0"/>
    <n v="0"/>
    <n v="1095.2769257187401"/>
    <n v="3100.2150609039741"/>
    <n v="2584.5736406006981"/>
    <n v="54.042727496120619"/>
    <n v="0"/>
    <n v="0"/>
    <n v="0"/>
    <n v="0"/>
    <n v="0"/>
    <m/>
    <n v="14.438425283019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389173303547572"/>
    <n v="0"/>
    <n v="0"/>
    <n v="0"/>
    <n v="481.83"/>
    <n v="22"/>
    <m/>
    <m/>
    <m/>
    <m/>
    <m/>
    <m/>
    <m/>
    <n v="2358.4201599999997"/>
    <m/>
    <n v="2610.9628139042456"/>
    <m/>
    <m/>
    <m/>
    <m/>
    <m/>
    <m/>
    <m/>
    <m/>
    <m/>
    <m/>
    <m/>
    <m/>
    <n v="3536.7647999999999"/>
    <n v="-588.17051000000083"/>
    <m/>
    <m/>
    <m/>
    <m/>
    <n v="-1312.2636299999999"/>
    <n v="333.3083400000001"/>
    <n v="29"/>
    <n v="381.35165733053736"/>
    <n v="0"/>
    <n v="0"/>
    <n v="0"/>
    <n v="0"/>
    <n v="0"/>
    <n v="0"/>
    <n v="0"/>
    <n v="45.587815530952867"/>
    <n v="0"/>
    <n v="0"/>
    <n v="333.30202552570199"/>
    <n v="0"/>
    <n v="0"/>
    <n v="0"/>
    <n v="3.4031009122174289"/>
    <n v="0"/>
    <n v="0"/>
    <m/>
    <n v="0"/>
    <n v="0"/>
    <n v="0"/>
    <n v="0"/>
    <n v="0"/>
    <n v="-0.94128463833440357"/>
    <n v="0"/>
    <n v="0"/>
    <m/>
    <m/>
    <m/>
    <n v="3100.2150609039741"/>
    <n v="0"/>
    <n v="0"/>
    <n v="-1312.2636299999999"/>
    <n v="333.30834000000004"/>
    <n v="0"/>
    <n v="0"/>
    <n v="-1360.2885125976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1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4.289"/>
    <n v="14.289"/>
    <n v="14.289"/>
    <n v="14.289"/>
    <m/>
    <n v="345.46"/>
    <n v="215.17"/>
    <m/>
    <n v="8010.8420699999997"/>
    <n v="8010.8420699999997"/>
    <n v="6870.1511999999993"/>
    <n v="0"/>
    <n v="0"/>
    <n v="0"/>
    <n v="0"/>
    <n v="0"/>
    <n v="1276.2302855414725"/>
    <n v="3612.4091172842604"/>
    <n v="3011.5773261472214"/>
    <n v="62.971257701383635"/>
    <n v="0"/>
    <n v="0"/>
    <n v="0"/>
    <n v="0"/>
    <n v="0"/>
    <m/>
    <n v="16.823832575150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748992688118019"/>
    <n v="0"/>
    <n v="0"/>
    <n v="0"/>
    <n v="1439.74"/>
    <n v="85"/>
    <m/>
    <m/>
    <m/>
    <m/>
    <m/>
    <m/>
    <m/>
    <n v="687.15800999999965"/>
    <m/>
    <n v="3042.3263188353394"/>
    <m/>
    <m/>
    <m/>
    <m/>
    <m/>
    <m/>
    <m/>
    <m/>
    <m/>
    <m/>
    <m/>
    <m/>
    <n v="6183.4259000000002"/>
    <n v="-1026.2619400000003"/>
    <m/>
    <m/>
    <m/>
    <m/>
    <n v="-1529.0658899999999"/>
    <n v="388.37502000000006"/>
    <n v="29"/>
    <n v="444.35569041800954"/>
    <n v="0"/>
    <n v="0"/>
    <n v="0"/>
    <n v="0"/>
    <n v="0"/>
    <n v="0"/>
    <n v="0"/>
    <n v="53.119489205070977"/>
    <n v="0"/>
    <n v="0"/>
    <n v="388.36766229607383"/>
    <n v="0"/>
    <n v="0"/>
    <n v="0"/>
    <n v="3.9653354753873309"/>
    <n v="0"/>
    <n v="0"/>
    <m/>
    <n v="0"/>
    <n v="0"/>
    <n v="0"/>
    <n v="0"/>
    <n v="0"/>
    <n v="-1.0967965585224082"/>
    <n v="0"/>
    <n v="0"/>
    <m/>
    <m/>
    <m/>
    <n v="3612.4091172842604"/>
    <n v="0"/>
    <n v="0"/>
    <n v="-1529.0658900000003"/>
    <n v="388.37501999999995"/>
    <n v="0"/>
    <n v="0"/>
    <n v="-1585.025080038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2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9.2530000000000001"/>
    <n v="9.2530000000000001"/>
    <n v="9.2530000000000001"/>
    <n v="9.2530000000000001"/>
    <m/>
    <n v="345.46"/>
    <n v="215.17"/>
    <m/>
    <n v="5187.5093899999993"/>
    <n v="5187.5093899999993"/>
    <n v="4448.8423999999995"/>
    <n v="0"/>
    <n v="0"/>
    <n v="0"/>
    <n v="0"/>
    <n v="0"/>
    <n v="826.43703772938943"/>
    <n v="2339.2554805956515"/>
    <n v="1950.1802084708684"/>
    <n v="40.777734446840427"/>
    <n v="0"/>
    <n v="0"/>
    <n v="0"/>
    <n v="0"/>
    <n v="0"/>
    <m/>
    <n v="10.894458871710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911850328445379"/>
    <n v="0"/>
    <n v="0"/>
    <n v="0"/>
    <n v="1482.76"/>
    <n v="76"/>
    <m/>
    <m/>
    <m/>
    <m/>
    <m/>
    <m/>
    <m/>
    <m/>
    <m/>
    <n v="1970.0920587993137"/>
    <m/>
    <m/>
    <m/>
    <m/>
    <m/>
    <m/>
    <m/>
    <m/>
    <m/>
    <m/>
    <m/>
    <m/>
    <n v="4447.3999999999996"/>
    <n v="-740.13939000000028"/>
    <m/>
    <m/>
    <m/>
    <m/>
    <n v="-990.16352999999992"/>
    <n v="251.49654000000007"/>
    <n v="29"/>
    <n v="287.74744232891362"/>
    <n v="0"/>
    <n v="0"/>
    <n v="0"/>
    <n v="0"/>
    <n v="0"/>
    <n v="0"/>
    <n v="0"/>
    <n v="34.398112787075434"/>
    <n v="0"/>
    <n v="0"/>
    <n v="251.49177543743963"/>
    <n v="0"/>
    <n v="0"/>
    <n v="0"/>
    <n v="2.5677968474882071"/>
    <n v="0"/>
    <n v="0"/>
    <m/>
    <n v="0"/>
    <n v="0"/>
    <n v="0"/>
    <n v="0"/>
    <n v="0"/>
    <n v="-0.71024274308963875"/>
    <n v="0"/>
    <n v="0"/>
    <m/>
    <m/>
    <m/>
    <n v="2339.2554805956515"/>
    <n v="0"/>
    <n v="0"/>
    <n v="-990.16352999999981"/>
    <n v="251.49654000000032"/>
    <n v="0"/>
    <n v="0"/>
    <n v="-1026.400522471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3"/>
    <s v="Regular"/>
    <s v="Convencional"/>
    <s v="B3"/>
    <s v="Industrial"/>
    <s v="Não se aplica"/>
    <s v="Não se aplica"/>
    <s v="Não se aplica"/>
    <s v="Não se aplica"/>
    <s v="CATIVO"/>
    <x v="5"/>
    <n v="0"/>
    <n v="0"/>
    <n v="49.401000000000003"/>
    <n v="49.401000000000003"/>
    <n v="49.401000000000003"/>
    <n v="49.401000000000003"/>
    <m/>
    <n v="415.98"/>
    <n v="215.17"/>
    <m/>
    <n v="31179.441150000002"/>
    <n v="31179.441150000002"/>
    <n v="27098.42454"/>
    <n v="0"/>
    <n v="3017.739032450942"/>
    <n v="0"/>
    <n v="0"/>
    <n v="0"/>
    <n v="4412.2788393893406"/>
    <n v="12489.091105252975"/>
    <n v="10411.850478619839"/>
    <n v="217.70894406228942"/>
    <n v="0"/>
    <n v="0"/>
    <n v="0"/>
    <n v="0"/>
    <n v="466.31808950143926"/>
    <m/>
    <n v="58.164612852195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30771836977523"/>
    <n v="0"/>
    <n v="0"/>
    <n v="0"/>
    <n v="11370.82"/>
    <n v="38"/>
    <m/>
    <m/>
    <m/>
    <m/>
    <m/>
    <m/>
    <m/>
    <m/>
    <m/>
    <n v="10518.158196989614"/>
    <m/>
    <m/>
    <m/>
    <m/>
    <m/>
    <m/>
    <m/>
    <m/>
    <m/>
    <m/>
    <m/>
    <m/>
    <n v="27097.876"/>
    <n v="-4081.5951499999974"/>
    <m/>
    <m/>
    <m/>
    <m/>
    <n v="-5423.7357900000015"/>
    <n v="1342.7191800000005"/>
    <n v="29"/>
    <n v="1398.7346644070421"/>
    <n v="0"/>
    <n v="0"/>
    <n v="0"/>
    <n v="0"/>
    <n v="0"/>
    <n v="0"/>
    <n v="0"/>
    <n v="183.6486728406262"/>
    <n v="0"/>
    <n v="0"/>
    <n v="1342.693742395435"/>
    <n v="0"/>
    <n v="0"/>
    <n v="0"/>
    <n v="13.709254518833333"/>
    <n v="0"/>
    <n v="-122.69824341881395"/>
    <m/>
    <n v="0"/>
    <n v="0"/>
    <n v="0"/>
    <n v="0"/>
    <n v="-14.826834797155414"/>
    <n v="-3.7919271318892527"/>
    <n v="0"/>
    <n v="0"/>
    <m/>
    <m/>
    <m/>
    <n v="12489.091105252975"/>
    <n v="0"/>
    <n v="0"/>
    <n v="-5423.7357900000006"/>
    <n v="1342.7191800000001"/>
    <n v="0"/>
    <n v="0"/>
    <n v="-5479.8673090464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4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82499999999999996"/>
    <n v="0.82499999999999996"/>
    <n v="0.82499999999999996"/>
    <n v="0.82499999999999996"/>
    <m/>
    <n v="415.98"/>
    <n v="215.17"/>
    <m/>
    <n v="520.69875000000002"/>
    <n v="520.69875000000002"/>
    <n v="452.54549999999995"/>
    <n v="0"/>
    <n v="50.39644342770444"/>
    <n v="0"/>
    <n v="0"/>
    <n v="0"/>
    <n v="73.685351359207417"/>
    <n v="208.56865573234759"/>
    <n v="173.87859850734532"/>
    <n v="3.6357539088558681"/>
    <n v="0"/>
    <n v="0"/>
    <n v="0"/>
    <n v="0"/>
    <n v="7.7875432448470141"/>
    <m/>
    <n v="0.97135292004333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53459981592388"/>
    <n v="0"/>
    <n v="0"/>
    <n v="0"/>
    <n v="1118.75"/>
    <n v="3"/>
    <m/>
    <m/>
    <m/>
    <m/>
    <m/>
    <m/>
    <m/>
    <m/>
    <m/>
    <n v="175.65394450550457"/>
    <m/>
    <m/>
    <m/>
    <m/>
    <m/>
    <m/>
    <m/>
    <m/>
    <m/>
    <m/>
    <m/>
    <m/>
    <n v="455.28819999999996"/>
    <n v="-65.44055000000003"/>
    <m/>
    <m/>
    <m/>
    <m/>
    <n v="-90.576750000000018"/>
    <n v="22.423500000000004"/>
    <n v="29"/>
    <n v="23.358962331446776"/>
    <n v="0"/>
    <n v="0"/>
    <n v="0"/>
    <n v="0"/>
    <n v="0"/>
    <n v="0"/>
    <n v="0"/>
    <n v="3.066945104218874"/>
    <n v="0"/>
    <n v="0"/>
    <n v="22.42307519030453"/>
    <n v="0"/>
    <n v="0"/>
    <n v="0"/>
    <n v="0.22894546624638168"/>
    <n v="0"/>
    <n v="-2.0490688613696406"/>
    <m/>
    <n v="0"/>
    <n v="0"/>
    <n v="0"/>
    <n v="0"/>
    <n v="-0.2476091315490212"/>
    <n v="-6.3325436404296109E-2"/>
    <n v="0"/>
    <n v="0"/>
    <m/>
    <m/>
    <m/>
    <n v="208.56865573234759"/>
    <n v="0"/>
    <n v="0"/>
    <n v="-90.576750000000004"/>
    <n v="22.42349999999999"/>
    <n v="0"/>
    <n v="0"/>
    <n v="-91.514150117675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5"/>
    <s v="Regular"/>
    <s v="Verde"/>
    <s v="A4"/>
    <s v="Industrial"/>
    <s v="Não se aplica"/>
    <s v="Não se aplica"/>
    <s v="Não se aplica"/>
    <s v="Ponta"/>
    <s v="CATIVO"/>
    <x v="5"/>
    <n v="0"/>
    <n v="0"/>
    <n v="148.72"/>
    <n v="148.72"/>
    <n v="148.72"/>
    <n v="148.72"/>
    <m/>
    <n v="2184.0300000000002"/>
    <n v="215.17"/>
    <m/>
    <n v="356809.02400000003"/>
    <n v="356809.02400000003"/>
    <n v="269241.20079999999"/>
    <n v="0"/>
    <n v="7903.7750156537331"/>
    <n v="0"/>
    <n v="0"/>
    <n v="0"/>
    <n v="98005.627262295282"/>
    <n v="217269.22347468155"/>
    <n v="31344.515357590786"/>
    <n v="655.40523796975117"/>
    <n v="0"/>
    <n v="0"/>
    <n v="0"/>
    <n v="0"/>
    <n v="1403.8344622710883"/>
    <m/>
    <n v="102.59785993097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.56417251109893"/>
    <n v="0"/>
    <n v="0"/>
    <n v="0"/>
    <n v="0"/>
    <n v="0"/>
    <m/>
    <m/>
    <m/>
    <m/>
    <m/>
    <m/>
    <m/>
    <m/>
    <m/>
    <n v="31468.079530101884"/>
    <m/>
    <m/>
    <m/>
    <m/>
    <m/>
    <m/>
    <m/>
    <m/>
    <m/>
    <m/>
    <m/>
    <m/>
    <n v="269241.20079999999"/>
    <n v="-87567.853200000071"/>
    <m/>
    <m/>
    <m/>
    <m/>
    <n v="-91610.03280000003"/>
    <n v="4042.209600000001"/>
    <n v="29"/>
    <n v="7764.5917856290762"/>
    <n v="0"/>
    <n v="0"/>
    <n v="0"/>
    <n v="0"/>
    <n v="0"/>
    <n v="0"/>
    <n v="0"/>
    <n v="4079.2080538873124"/>
    <n v="0"/>
    <n v="0"/>
    <n v="4042.1330209722255"/>
    <n v="0"/>
    <n v="0"/>
    <n v="0"/>
    <n v="15.934616191003911"/>
    <n v="0"/>
    <n v="-321.3595676663108"/>
    <m/>
    <n v="0"/>
    <n v="0"/>
    <n v="0"/>
    <n v="0"/>
    <n v="-44.635672780570076"/>
    <n v="-6.6886649746071214"/>
    <n v="0"/>
    <n v="0"/>
    <m/>
    <m/>
    <m/>
    <n v="217269.22347468155"/>
    <n v="0"/>
    <n v="0"/>
    <n v="-91610.032800000015"/>
    <n v="4042.209600000002"/>
    <n v="0"/>
    <n v="0"/>
    <n v="-95331.71829293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6"/>
    <s v="Regular"/>
    <s v="Verde"/>
    <s v="A4"/>
    <s v="Industrial"/>
    <s v="Não se aplica"/>
    <s v="Não se aplica"/>
    <s v="Não se aplica"/>
    <s v="Fora ponta"/>
    <s v="CATIVO"/>
    <x v="5"/>
    <n v="0"/>
    <n v="0"/>
    <n v="1972.8689999999999"/>
    <n v="1972.8689999999999"/>
    <n v="1972.8689999999999"/>
    <n v="1972.8689999999999"/>
    <m/>
    <n v="64.11"/>
    <n v="215.17"/>
    <m/>
    <n v="550982.85431999993"/>
    <n v="550982.85431999993"/>
    <n v="599870.54813999997"/>
    <n v="0"/>
    <n v="104848.79445506835"/>
    <n v="0"/>
    <n v="0"/>
    <n v="0"/>
    <n v="0"/>
    <n v="0"/>
    <n v="415805.69304071256"/>
    <n v="8694.3832465582636"/>
    <n v="0"/>
    <n v="0"/>
    <n v="0"/>
    <n v="0"/>
    <n v="18622.791095658282"/>
    <m/>
    <n v="1361.0283574782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9.160337935713"/>
    <n v="0"/>
    <n v="0"/>
    <n v="0"/>
    <n v="0"/>
    <n v="0"/>
    <m/>
    <m/>
    <m/>
    <m/>
    <m/>
    <m/>
    <m/>
    <m/>
    <m/>
    <n v="417444.85337864829"/>
    <m/>
    <m/>
    <m/>
    <m/>
    <m/>
    <m/>
    <m/>
    <m/>
    <m/>
    <m/>
    <m/>
    <m/>
    <n v="599870.85219999996"/>
    <n v="48887.967880000011"/>
    <m/>
    <m/>
    <m/>
    <m/>
    <n v="-4734.8855999999969"/>
    <n v="53622.579420000009"/>
    <n v="29"/>
    <n v="48889.04866499186"/>
    <n v="0"/>
    <n v="0"/>
    <n v="0"/>
    <n v="0"/>
    <n v="0"/>
    <n v="0"/>
    <n v="0"/>
    <n v="0"/>
    <n v="0"/>
    <n v="0"/>
    <n v="53621.563548631384"/>
    <n v="0"/>
    <n v="0"/>
    <n v="0"/>
    <n v="211.38320542045244"/>
    <n v="0"/>
    <n v="-4263.0468592137477"/>
    <m/>
    <n v="0"/>
    <n v="0"/>
    <n v="0"/>
    <n v="0"/>
    <n v="-592.1216724242222"/>
    <n v="-88.729557421921754"/>
    <n v="0"/>
    <n v="0"/>
    <m/>
    <m/>
    <m/>
    <n v="0"/>
    <n v="0"/>
    <n v="0"/>
    <n v="-4734.8855999999942"/>
    <n v="53622.57941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7"/>
    <s v="Regular"/>
    <s v="Verde"/>
    <s v="A4"/>
    <s v="Industrial"/>
    <s v="Não se aplica"/>
    <s v="Não se aplica"/>
    <s v="Não se aplica"/>
    <s v="Não se aplica"/>
    <s v="CATIVO"/>
    <x v="5"/>
    <n v="5734"/>
    <n v="5734"/>
    <n v="0"/>
    <n v="0"/>
    <n v="0"/>
    <n v="0"/>
    <n v="28.04"/>
    <m/>
    <m/>
    <n v="160781.35999999999"/>
    <m/>
    <n v="160781.35999999999"/>
    <n v="120758.04"/>
    <n v="0"/>
    <n v="0"/>
    <n v="0"/>
    <n v="0"/>
    <n v="0"/>
    <n v="63479.264180087652"/>
    <n v="97330.635628242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8237.31"/>
    <n v="14"/>
    <m/>
    <m/>
    <m/>
    <m/>
    <m/>
    <m/>
    <m/>
    <m/>
    <m/>
    <n v="0"/>
    <m/>
    <m/>
    <m/>
    <m/>
    <m/>
    <m/>
    <m/>
    <m/>
    <m/>
    <m/>
    <m/>
    <m/>
    <n v="120758.04"/>
    <n v="-40023.35000000002"/>
    <m/>
    <m/>
    <m/>
    <m/>
    <n v="-40023.32"/>
    <n v="0"/>
    <n v="29"/>
    <n v="2642.145486250527"/>
    <n v="0"/>
    <n v="0"/>
    <n v="0"/>
    <n v="0"/>
    <m/>
    <m/>
    <m/>
    <n v="2642.1454862505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330.63562824222"/>
    <m/>
    <n v="0"/>
    <n v="0"/>
    <n v="-40023.319999999992"/>
    <m/>
    <n v="0"/>
    <m/>
    <n v="-42705.987477630108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198"/>
    <s v="Regular"/>
    <s v="Convencional"/>
    <s v="B3"/>
    <s v="Comercial"/>
    <s v="Não se aplica"/>
    <s v="Não se aplica"/>
    <s v="Não se aplica"/>
    <s v="Não se aplica"/>
    <s v="CATIVO"/>
    <x v="5"/>
    <n v="0"/>
    <n v="0"/>
    <n v="259.84300000000002"/>
    <n v="259.84300000000002"/>
    <n v="259.84300000000002"/>
    <n v="259.84300000000002"/>
    <m/>
    <n v="415.98"/>
    <n v="215.17"/>
    <m/>
    <n v="163999.90945000001"/>
    <n v="163999.90945000001"/>
    <n v="142534.27922000003"/>
    <n v="0"/>
    <n v="15872.924908587886"/>
    <n v="0"/>
    <n v="0"/>
    <n v="0"/>
    <n v="23208.027579673377"/>
    <n v="65691.036619952007"/>
    <n v="54765.014147811075"/>
    <n v="1145.1214581076792"/>
    <n v="0"/>
    <n v="0"/>
    <n v="0"/>
    <n v="0"/>
    <n v="2452.7740598433729"/>
    <m/>
    <n v="305.93849309432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9.16512751477717"/>
    <n v="0"/>
    <n v="0"/>
    <n v="0"/>
    <n v="59325.16"/>
    <n v="447"/>
    <m/>
    <m/>
    <m/>
    <m/>
    <m/>
    <m/>
    <m/>
    <m/>
    <m/>
    <n v="55324.179275325849"/>
    <m/>
    <m/>
    <m/>
    <m/>
    <m/>
    <m/>
    <m/>
    <m/>
    <m/>
    <m/>
    <m/>
    <m/>
    <n v="142532.63359999997"/>
    <n v="-21467.305850000033"/>
    <m/>
    <m/>
    <m/>
    <m/>
    <n v="-28528.162970000008"/>
    <n v="7062.5327400000024"/>
    <n v="29"/>
    <n v="7357.1670898062148"/>
    <n v="0"/>
    <n v="0"/>
    <n v="0"/>
    <n v="0"/>
    <n v="0"/>
    <n v="0"/>
    <n v="0"/>
    <n v="965.96874753399243"/>
    <n v="0"/>
    <n v="0"/>
    <n v="7062.3989414233874"/>
    <n v="0"/>
    <n v="0"/>
    <n v="0"/>
    <n v="72.10894155861638"/>
    <n v="0"/>
    <n v="-645.37721229681301"/>
    <m/>
    <n v="0"/>
    <n v="0"/>
    <n v="0"/>
    <n v="0"/>
    <n v="-77.987272204959936"/>
    <n v="-19.945056208001859"/>
    <n v="0"/>
    <n v="0"/>
    <m/>
    <m/>
    <m/>
    <n v="65691.036619952007"/>
    <n v="0"/>
    <n v="0"/>
    <n v="-28528.162970000005"/>
    <n v="7062.5327400000024"/>
    <n v="0"/>
    <n v="0"/>
    <n v="-28823.40764730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199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0.86299999999999999"/>
    <n v="-0.86299999999999999"/>
    <n v="-0.86299999999999999"/>
    <n v="-0.86299999999999999"/>
    <m/>
    <n v="415.98"/>
    <n v="215.17"/>
    <m/>
    <n v="-544.68245000000002"/>
    <n v="-544.68245000000002"/>
    <n v="-473.39001999999994"/>
    <n v="0"/>
    <n v="-52.717734155283559"/>
    <n v="0"/>
    <n v="0"/>
    <n v="0"/>
    <n v="-77.079343300601209"/>
    <n v="-218.17545442062544"/>
    <n v="-181.88755213556246"/>
    <n v="-3.8032189373849872"/>
    <n v="0"/>
    <n v="0"/>
    <n v="0"/>
    <n v="0"/>
    <n v="-8.1462422064278464"/>
    <m/>
    <n v="-1.01609402423927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8571195108017251"/>
    <n v="0"/>
    <n v="0"/>
    <n v="0"/>
    <n v="-198.64"/>
    <n v="0"/>
    <m/>
    <m/>
    <m/>
    <m/>
    <m/>
    <m/>
    <m/>
    <m/>
    <m/>
    <n v="-183.7446716463642"/>
    <m/>
    <m/>
    <m/>
    <m/>
    <m/>
    <m/>
    <m/>
    <m/>
    <m/>
    <m/>
    <m/>
    <m/>
    <n v="-471.74439999999998"/>
    <n v="72.90805000000006"/>
    <m/>
    <m/>
    <m/>
    <m/>
    <n v="94.748770000000022"/>
    <n v="-23.456340000000004"/>
    <n v="29"/>
    <n v="-24.434890293380079"/>
    <n v="0"/>
    <n v="0"/>
    <n v="0"/>
    <n v="0"/>
    <n v="0"/>
    <n v="0"/>
    <n v="0"/>
    <n v="-3.2082104544738144"/>
    <n v="0"/>
    <n v="0"/>
    <n v="-23.455895623312472"/>
    <n v="0"/>
    <n v="0"/>
    <n v="0"/>
    <n v="-0.2394908331765182"/>
    <n v="0"/>
    <n v="2.1434502149842416"/>
    <m/>
    <n v="0"/>
    <n v="0"/>
    <n v="0"/>
    <n v="0"/>
    <n v="0.25901415821430884"/>
    <n v="6.6242244384130289E-2"/>
    <n v="0"/>
    <n v="0"/>
    <m/>
    <m/>
    <m/>
    <n v="-218.17545442062544"/>
    <n v="0"/>
    <n v="0"/>
    <n v="94.748770000000036"/>
    <n v="-23.456339999999983"/>
    <n v="0"/>
    <n v="0"/>
    <n v="95.729347335217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0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6.4580000000000002"/>
    <n v="6.4580000000000002"/>
    <n v="6.4580000000000002"/>
    <n v="6.4580000000000002"/>
    <m/>
    <n v="415.98"/>
    <n v="215.17"/>
    <m/>
    <n v="4075.9666999999999"/>
    <n v="4075.9666999999999"/>
    <n v="3542.4713199999997"/>
    <n v="0"/>
    <n v="394.49725049226095"/>
    <n v="0"/>
    <n v="0"/>
    <n v="0"/>
    <n v="576.79999888213513"/>
    <n v="1632.6501560236375"/>
    <n v="1361.1005929217408"/>
    <n v="28.46024090108024"/>
    <n v="0"/>
    <n v="0"/>
    <n v="0"/>
    <n v="0"/>
    <n v="60.959944576026693"/>
    <m/>
    <n v="7.6036329183513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971932801362"/>
    <n v="0"/>
    <n v="0"/>
    <n v="0"/>
    <n v="2354.38"/>
    <n v="7"/>
    <m/>
    <m/>
    <m/>
    <m/>
    <m/>
    <m/>
    <m/>
    <m/>
    <m/>
    <n v="1374.997786201877"/>
    <m/>
    <m/>
    <m/>
    <m/>
    <m/>
    <m/>
    <m/>
    <m/>
    <m/>
    <m/>
    <m/>
    <m/>
    <n v="3543.5684000000001"/>
    <n v="-532.42830000000049"/>
    <m/>
    <m/>
    <m/>
    <m/>
    <n v="-709.02382000000011"/>
    <n v="175.52844000000005"/>
    <n v="29"/>
    <n v="182.85112574119194"/>
    <n v="0"/>
    <n v="0"/>
    <n v="0"/>
    <n v="0"/>
    <n v="0"/>
    <n v="0"/>
    <n v="0"/>
    <n v="24.007674524903678"/>
    <n v="0"/>
    <n v="0"/>
    <n v="175.52511464119584"/>
    <n v="0"/>
    <n v="0"/>
    <n v="0"/>
    <n v="1.7921573588110711"/>
    <n v="0"/>
    <n v="-16.039862674818323"/>
    <m/>
    <n v="0"/>
    <n v="0"/>
    <n v="0"/>
    <n v="0"/>
    <n v="-1.9382542685376691"/>
    <n v="-0.49570384036235726"/>
    <n v="0"/>
    <n v="0"/>
    <m/>
    <m/>
    <m/>
    <n v="1632.6501560236375"/>
    <n v="0"/>
    <n v="0"/>
    <n v="-709.02382000000034"/>
    <n v="175.52844000000005"/>
    <n v="0"/>
    <n v="0"/>
    <n v="-716.36167449691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1"/>
    <s v="Regular"/>
    <s v="Verde"/>
    <s v="A4"/>
    <s v="Comercial"/>
    <s v="Não se aplica"/>
    <s v="Não se aplica"/>
    <s v="Não se aplica"/>
    <s v="Ponta"/>
    <s v="CATIVO"/>
    <x v="5"/>
    <n v="0"/>
    <n v="0"/>
    <n v="3.0550000000000002"/>
    <n v="3.0550000000000002"/>
    <n v="3.0550000000000002"/>
    <n v="3.0550000000000002"/>
    <m/>
    <n v="2184.0300000000002"/>
    <n v="215.17"/>
    <m/>
    <n v="7329.5560000000014"/>
    <n v="7329.5560000000014"/>
    <n v="5530.7414500000004"/>
    <n v="0"/>
    <n v="162.35901474463526"/>
    <n v="0"/>
    <n v="0"/>
    <n v="0"/>
    <n v="2013.227483097849"/>
    <n v="4463.135272425714"/>
    <n v="643.87771932113947"/>
    <n v="13.463306898854155"/>
    <n v="0"/>
    <n v="0"/>
    <n v="0"/>
    <n v="0"/>
    <n v="28.837508621827428"/>
    <m/>
    <n v="2.1075609338967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382500472122596"/>
    <n v="0"/>
    <n v="0"/>
    <n v="0"/>
    <n v="0"/>
    <n v="0"/>
    <m/>
    <m/>
    <m/>
    <m/>
    <m/>
    <m/>
    <m/>
    <m/>
    <m/>
    <n v="646.41596936835174"/>
    <m/>
    <m/>
    <m/>
    <m/>
    <m/>
    <m/>
    <m/>
    <m/>
    <m/>
    <m/>
    <m/>
    <m/>
    <n v="5539.7934000000005"/>
    <n v="-1789.7926000000016"/>
    <m/>
    <m/>
    <m/>
    <m/>
    <n v="-1881.8494500000008"/>
    <n v="83.034900000000022"/>
    <n v="29"/>
    <n v="159.49991867332346"/>
    <n v="0"/>
    <n v="0"/>
    <n v="0"/>
    <n v="0"/>
    <n v="0"/>
    <n v="0"/>
    <n v="0"/>
    <n v="83.79492068737045"/>
    <n v="0"/>
    <n v="0"/>
    <n v="83.033326916824535"/>
    <n v="0"/>
    <n v="0"/>
    <n v="0"/>
    <n v="0.32732821721030758"/>
    <n v="0"/>
    <n v="-6.6013547553831415"/>
    <m/>
    <n v="0"/>
    <n v="0"/>
    <n v="0"/>
    <n v="0"/>
    <n v="-0.91690411743303812"/>
    <n v="-0.13739827526509396"/>
    <n v="0"/>
    <n v="0"/>
    <m/>
    <m/>
    <m/>
    <n v="4463.135272425714"/>
    <n v="0"/>
    <n v="0"/>
    <n v="-1881.8494500000006"/>
    <n v="83.034900000000107"/>
    <n v="0"/>
    <n v="0"/>
    <n v="-1958.3001572412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2"/>
    <s v="Regular"/>
    <s v="Verde"/>
    <s v="A4"/>
    <s v="Comercial"/>
    <s v="Não se aplica"/>
    <s v="Não se aplica"/>
    <s v="Não se aplica"/>
    <s v="Fora ponta"/>
    <s v="CATIVO"/>
    <x v="5"/>
    <n v="0"/>
    <n v="0"/>
    <n v="31.585000000000001"/>
    <n v="31.585000000000001"/>
    <n v="31.585000000000001"/>
    <n v="31.585000000000001"/>
    <m/>
    <n v="64.11"/>
    <n v="215.17"/>
    <m/>
    <n v="8821.0587999999989"/>
    <n v="8821.0587999999989"/>
    <n v="9603.7350999999999"/>
    <n v="0"/>
    <n v="1678.5955747002633"/>
    <n v="0"/>
    <n v="0"/>
    <n v="0"/>
    <n v="0"/>
    <n v="0"/>
    <n v="6656.9157986115179"/>
    <n v="139.19428752874256"/>
    <n v="0"/>
    <n v="0"/>
    <n v="0"/>
    <n v="0"/>
    <n v="298.1449131981733"/>
    <m/>
    <n v="21.78962752770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242431339181415"/>
    <n v="0"/>
    <n v="0"/>
    <n v="0"/>
    <n v="0"/>
    <n v="0"/>
    <m/>
    <m/>
    <m/>
    <m/>
    <m/>
    <m/>
    <m/>
    <m/>
    <m/>
    <n v="6683.158229950699"/>
    <m/>
    <m/>
    <m/>
    <m/>
    <m/>
    <m/>
    <m/>
    <m/>
    <m/>
    <m/>
    <m/>
    <m/>
    <n v="9605.2554"/>
    <n v="784.16660000000047"/>
    <m/>
    <m/>
    <m/>
    <m/>
    <n v="-75.803999999999959"/>
    <n v="858.48030000000028"/>
    <n v="29"/>
    <n v="782.69799063382925"/>
    <n v="0"/>
    <n v="0"/>
    <n v="0"/>
    <n v="0"/>
    <n v="0"/>
    <n v="0"/>
    <n v="0"/>
    <n v="0"/>
    <n v="0"/>
    <n v="0"/>
    <n v="858.46403622517391"/>
    <n v="0"/>
    <n v="0"/>
    <n v="0"/>
    <n v="3.3841773291612292"/>
    <n v="0"/>
    <n v="-68.250013076522464"/>
    <m/>
    <n v="0"/>
    <n v="0"/>
    <n v="0"/>
    <n v="0"/>
    <n v="-9.479678084819227"/>
    <n v="-1.4205317591646462"/>
    <n v="0"/>
    <n v="0"/>
    <m/>
    <m/>
    <m/>
    <n v="0"/>
    <n v="0"/>
    <n v="0"/>
    <n v="-75.80399999999986"/>
    <n v="858.48030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3"/>
    <s v="Regular"/>
    <s v="Verde"/>
    <s v="A4"/>
    <s v="Comercial"/>
    <s v="Não se aplica"/>
    <s v="Não se aplica"/>
    <s v="Não se aplica"/>
    <s v="Não se aplica"/>
    <s v="CATIVO"/>
    <x v="5"/>
    <n v="110"/>
    <n v="110"/>
    <n v="0"/>
    <n v="0"/>
    <n v="0"/>
    <n v="0"/>
    <n v="28.04"/>
    <m/>
    <m/>
    <n v="3084.4"/>
    <m/>
    <n v="3084.4"/>
    <n v="2316.6"/>
    <n v="0"/>
    <n v="0"/>
    <n v="0"/>
    <n v="0"/>
    <n v="0"/>
    <n v="1217.7745133954729"/>
    <n v="1867.17298903150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70.11"/>
    <n v="1"/>
    <m/>
    <m/>
    <m/>
    <m/>
    <m/>
    <m/>
    <m/>
    <m/>
    <m/>
    <n v="0"/>
    <m/>
    <m/>
    <m/>
    <m/>
    <m/>
    <m/>
    <m/>
    <m/>
    <m/>
    <m/>
    <m/>
    <m/>
    <n v="2316.6"/>
    <n v="-767.83000000000084"/>
    <m/>
    <m/>
    <m/>
    <m/>
    <n v="-767.80000000000007"/>
    <n v="0"/>
    <n v="29"/>
    <n v="50.686432418478944"/>
    <n v="0"/>
    <n v="0"/>
    <n v="0"/>
    <n v="0"/>
    <m/>
    <m/>
    <m/>
    <n v="50.6864324184789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67.1729890315041"/>
    <m/>
    <n v="0"/>
    <n v="0"/>
    <n v="-767.80000000000018"/>
    <m/>
    <n v="0"/>
    <m/>
    <n v="-819.26379883838717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204"/>
    <s v="Regular"/>
    <s v="Branca"/>
    <s v="B3"/>
    <s v="Comercial"/>
    <s v="Não se aplica"/>
    <s v="Não se aplica"/>
    <s v="Não se aplica"/>
    <s v="Ponta"/>
    <s v="CATIVO"/>
    <x v="5"/>
    <n v="0"/>
    <n v="0"/>
    <n v="0.106"/>
    <n v="0.106"/>
    <n v="0.106"/>
    <n v="0.106"/>
    <m/>
    <n v="1254.27"/>
    <n v="215.17"/>
    <m/>
    <n v="155.76064"/>
    <n v="155.76064"/>
    <n v="119.16202"/>
    <n v="0"/>
    <n v="6.475179397983843"/>
    <n v="0"/>
    <n v="0"/>
    <n v="0"/>
    <n v="32.670874626403588"/>
    <n v="92.452769678768121"/>
    <n v="22.340765383974066"/>
    <n v="0.46713929010754185"/>
    <n v="0"/>
    <n v="0"/>
    <n v="0"/>
    <n v="0"/>
    <n v="1.0005813138833739"/>
    <m/>
    <n v="0.12480413275708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281050615816719"/>
    <n v="0"/>
    <n v="0"/>
    <n v="0"/>
    <n v="0"/>
    <n v="0"/>
    <m/>
    <m/>
    <m/>
    <m/>
    <m/>
    <m/>
    <m/>
    <m/>
    <m/>
    <n v="22.568870445555739"/>
    <m/>
    <m/>
    <m/>
    <m/>
    <m/>
    <m/>
    <m/>
    <m/>
    <m/>
    <m/>
    <m/>
    <m/>
    <n v="123.65870000000001"/>
    <n v="-32.131939999999958"/>
    <m/>
    <m/>
    <m/>
    <m/>
    <n v="-39.479699999999994"/>
    <n v="2.8810800000000008"/>
    <n v="29"/>
    <n v="3.967049848342306"/>
    <n v="0"/>
    <n v="0"/>
    <n v="0"/>
    <n v="0"/>
    <n v="0"/>
    <n v="0"/>
    <n v="0"/>
    <n v="1.3598330894499924"/>
    <n v="0"/>
    <n v="0"/>
    <n v="2.8810254183906423"/>
    <n v="0"/>
    <n v="0"/>
    <n v="0"/>
    <n v="2.9416023541959352E-2"/>
    <n v="0"/>
    <n v="-0.26327430218809855"/>
    <m/>
    <n v="0"/>
    <n v="0"/>
    <n v="0"/>
    <n v="0"/>
    <n v="-3.1814021750540822E-2"/>
    <n v="-8.1363591016428982E-3"/>
    <n v="0"/>
    <n v="0"/>
    <m/>
    <m/>
    <m/>
    <n v="92.452769678768121"/>
    <n v="0"/>
    <n v="0"/>
    <n v="-39.479699999999994"/>
    <n v="2.8810800000000008"/>
    <n v="0"/>
    <n v="0"/>
    <n v="-40.565714984686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5"/>
    <s v="Regular"/>
    <s v="Branca"/>
    <s v="B3"/>
    <s v="Comercial"/>
    <s v="Não se aplica"/>
    <s v="Não se aplica"/>
    <s v="Não se aplica"/>
    <s v="Fora ponta"/>
    <s v="CATIVO"/>
    <x v="5"/>
    <n v="0"/>
    <n v="0"/>
    <n v="1.2609999999999999"/>
    <n v="1.2609999999999999"/>
    <n v="1.2609999999999999"/>
    <n v="1.2609999999999999"/>
    <m/>
    <n v="309.91000000000003"/>
    <n v="215.17"/>
    <m/>
    <n v="662.12588000000005"/>
    <n v="662.12588000000005"/>
    <n v="599.85770000000002"/>
    <n v="0"/>
    <n v="77.030200196770053"/>
    <n v="0"/>
    <n v="0"/>
    <n v="0"/>
    <n v="77.698621380592883"/>
    <n v="219.96802469967699"/>
    <n v="265.77080329425752"/>
    <n v="5.5571947625057572"/>
    <n v="0"/>
    <n v="0"/>
    <n v="0"/>
    <n v="0"/>
    <n v="11.903141856669192"/>
    <m/>
    <n v="1.4846982208177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135894590046061"/>
    <n v="0"/>
    <n v="0"/>
    <n v="0"/>
    <n v="0"/>
    <n v="0"/>
    <m/>
    <m/>
    <m/>
    <m/>
    <m/>
    <m/>
    <m/>
    <m/>
    <m/>
    <n v="268.48439275326211"/>
    <m/>
    <m/>
    <m/>
    <m/>
    <m/>
    <m/>
    <m/>
    <m/>
    <m/>
    <m/>
    <m/>
    <m/>
    <n v="599.38200000000006"/>
    <n v="-62.773879999999963"/>
    <m/>
    <m/>
    <m/>
    <m/>
    <n v="-96.542160000000024"/>
    <n v="34.273980000000009"/>
    <n v="29"/>
    <n v="34.250027036432755"/>
    <n v="0"/>
    <n v="0"/>
    <n v="0"/>
    <n v="0"/>
    <n v="0"/>
    <n v="0"/>
    <n v="0"/>
    <n v="3.2339861594212351"/>
    <n v="0"/>
    <n v="0"/>
    <n v="34.273330684816983"/>
    <n v="0"/>
    <n v="0"/>
    <n v="0"/>
    <n v="0.3499396762868936"/>
    <n v="0"/>
    <n v="-3.1319707081055981"/>
    <m/>
    <n v="0"/>
    <n v="0"/>
    <n v="0"/>
    <n v="0"/>
    <n v="-0.37846680591916915"/>
    <n v="-9.6791970067657385E-2"/>
    <n v="0"/>
    <n v="0"/>
    <m/>
    <m/>
    <m/>
    <n v="219.96802469967699"/>
    <n v="0"/>
    <n v="0"/>
    <n v="-96.542160000000024"/>
    <n v="34.273979999999995"/>
    <n v="0"/>
    <n v="0"/>
    <n v="-96.515877530934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6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26.029999999999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07"/>
    <s v="Regular"/>
    <s v="Branca"/>
    <s v="B3"/>
    <s v="Comercial"/>
    <s v="Não se aplica"/>
    <s v="Não se aplica"/>
    <s v="Não se aplica"/>
    <s v="Intermediário"/>
    <s v="CATIVO"/>
    <x v="5"/>
    <n v="0"/>
    <n v="0"/>
    <n v="6.9000000000000006E-2"/>
    <n v="6.9000000000000006E-2"/>
    <n v="6.9000000000000006E-2"/>
    <n v="6.9000000000000006E-2"/>
    <m/>
    <n v="782.07"/>
    <n v="215.17"/>
    <m/>
    <n v="68.809560000000005"/>
    <n v="68.809560000000005"/>
    <n v="55.193790000000007"/>
    <n v="0"/>
    <n v="4.2149752684989172"/>
    <n v="0"/>
    <n v="0"/>
    <n v="0"/>
    <n v="12.75769703958469"/>
    <n v="36.108906225661286"/>
    <n v="14.542573693341611"/>
    <n v="0.30408123601339992"/>
    <n v="0"/>
    <n v="0"/>
    <n v="0"/>
    <n v="0"/>
    <n v="0.65132179865993212"/>
    <m/>
    <n v="8.124042603998829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4848348348240908"/>
    <n v="0"/>
    <n v="0"/>
    <n v="0"/>
    <n v="0"/>
    <n v="0"/>
    <m/>
    <m/>
    <m/>
    <m/>
    <m/>
    <m/>
    <m/>
    <m/>
    <m/>
    <n v="14.691057176824019"/>
    <m/>
    <m/>
    <m/>
    <m/>
    <m/>
    <m/>
    <m/>
    <m/>
    <m/>
    <m/>
    <m/>
    <m/>
    <n v="55.993700000000004"/>
    <n v="-12.845860000000016"/>
    <m/>
    <m/>
    <m/>
    <m/>
    <n v="-15.491190000000008"/>
    <n v="1.8754200000000005"/>
    <n v="29"/>
    <n v="2.228153719677799"/>
    <n v="0"/>
    <n v="0"/>
    <n v="0"/>
    <n v="0"/>
    <n v="0"/>
    <n v="0"/>
    <n v="0"/>
    <n v="0.53100318794600199"/>
    <n v="0"/>
    <n v="0"/>
    <n v="1.8753844704618334"/>
    <n v="0"/>
    <n v="0"/>
    <n v="0"/>
    <n v="1.9148166267879213E-2"/>
    <n v="0"/>
    <n v="-0.17137666840546029"/>
    <m/>
    <n v="0"/>
    <n v="0"/>
    <n v="0"/>
    <n v="0"/>
    <n v="-2.0709127365918123E-2"/>
    <n v="-5.2963092265411321E-3"/>
    <n v="0"/>
    <n v="0"/>
    <m/>
    <m/>
    <m/>
    <n v="36.108906225661286"/>
    <n v="0"/>
    <n v="0"/>
    <n v="-15.49119000000001"/>
    <n v="1.8754200000000019"/>
    <n v="0"/>
    <n v="0"/>
    <n v="-15.84358806608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8"/>
    <s v="Regular"/>
    <s v="Convencional"/>
    <s v="B2"/>
    <s v="Rural"/>
    <s v="Não se aplica"/>
    <s v="Não se aplica"/>
    <s v="Não se aplica"/>
    <s v="Não se aplica"/>
    <s v="CATIVO"/>
    <x v="5"/>
    <n v="0"/>
    <n v="0"/>
    <n v="527.05999999999995"/>
    <n v="527.05999999999995"/>
    <n v="527.05999999999995"/>
    <n v="527.05999999999995"/>
    <m/>
    <n v="415.98"/>
    <n v="215.17"/>
    <m/>
    <n v="332653.91899999999"/>
    <n v="332653.91899999999"/>
    <n v="289113.49239999999"/>
    <n v="0"/>
    <n v="32196.302391522302"/>
    <n v="0"/>
    <n v="0"/>
    <n v="0"/>
    <n v="47074.668227131951"/>
    <n v="133246.29780641349"/>
    <n v="111084.18682337142"/>
    <n v="2322.7399456988774"/>
    <n v="0"/>
    <n v="0"/>
    <n v="0"/>
    <n v="0"/>
    <n v="4975.1545971261421"/>
    <m/>
    <n v="620.5591151976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4.1986203512829"/>
    <n v="0"/>
    <n v="0"/>
    <n v="0"/>
    <n v="68988.88"/>
    <n v="1666"/>
    <m/>
    <m/>
    <m/>
    <m/>
    <m/>
    <n v="34691.089199999988"/>
    <m/>
    <m/>
    <m/>
    <n v="112218.3854437227"/>
    <m/>
    <m/>
    <m/>
    <m/>
    <m/>
    <m/>
    <m/>
    <m/>
    <m/>
    <m/>
    <m/>
    <m/>
    <n v="254422.40319999997"/>
    <n v="-38312.021400000056"/>
    <m/>
    <m/>
    <m/>
    <m/>
    <n v="-57865.917400000006"/>
    <n v="14325.490800000001"/>
    <n v="29"/>
    <n v="14923.120832014916"/>
    <n v="0"/>
    <n v="0"/>
    <n v="0"/>
    <n v="0"/>
    <n v="0"/>
    <n v="0"/>
    <n v="0"/>
    <n v="1959.3504080358762"/>
    <n v="0"/>
    <n v="0"/>
    <n v="14325.219405820477"/>
    <n v="0"/>
    <n v="0"/>
    <n v="0"/>
    <n v="146.26423932099146"/>
    <n v="0"/>
    <n v="-1309.0693746345205"/>
    <m/>
    <n v="0"/>
    <n v="0"/>
    <n v="0"/>
    <n v="0"/>
    <n v="-158.18771984754858"/>
    <n v="-40.45612668030094"/>
    <n v="0"/>
    <n v="0"/>
    <m/>
    <m/>
    <m/>
    <n v="133246.29780641349"/>
    <n v="0"/>
    <n v="0"/>
    <n v="-57865.917400000006"/>
    <n v="14325.4908"/>
    <n v="0"/>
    <n v="0"/>
    <n v="-58464.785407299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09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.5049999999999999"/>
    <n v="-2.5049999999999999"/>
    <n v="-2.5049999999999999"/>
    <n v="-2.5049999999999999"/>
    <m/>
    <n v="415.98"/>
    <n v="215.17"/>
    <m/>
    <n v="-1581.0307499999999"/>
    <n v="-1581.0307499999999"/>
    <n v="-1374.0926999999999"/>
    <n v="0"/>
    <n v="-153.02192822593892"/>
    <n v="0"/>
    <n v="0"/>
    <n v="0"/>
    <n v="-223.73552139977525"/>
    <n v="-633.29028195094634"/>
    <n v="-527.95865364957581"/>
    <n v="-11.039470959616908"/>
    <n v="0"/>
    <n v="0"/>
    <n v="0"/>
    <n v="0"/>
    <n v="-23.645813125262752"/>
    <m/>
    <n v="-2.94938068449522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.3905960307744163"/>
    <n v="0"/>
    <n v="0"/>
    <n v="0"/>
    <n v="-401.07"/>
    <n v="0"/>
    <m/>
    <m/>
    <m/>
    <m/>
    <m/>
    <n v="-164.87909999999999"/>
    <m/>
    <m/>
    <m/>
    <n v="-533.34924968035023"/>
    <m/>
    <m/>
    <m/>
    <m/>
    <m/>
    <m/>
    <m/>
    <m/>
    <m/>
    <m/>
    <m/>
    <m/>
    <n v="-1211.6271999999999"/>
    <n v="179.64484999999991"/>
    <m/>
    <m/>
    <m/>
    <m/>
    <n v="275.02395000000001"/>
    <n v="-68.085900000000009"/>
    <n v="29"/>
    <n v="-70.92630380639298"/>
    <n v="0"/>
    <n v="0"/>
    <n v="0"/>
    <n v="0"/>
    <n v="0"/>
    <n v="0"/>
    <n v="0"/>
    <n v="-9.3123605891736929"/>
    <n v="0"/>
    <n v="0"/>
    <n v="-68.084610123288257"/>
    <n v="0"/>
    <n v="0"/>
    <n v="0"/>
    <n v="-0.69516168842083115"/>
    <n v="0"/>
    <n v="6.2217181790678069"/>
    <m/>
    <n v="0"/>
    <n v="0"/>
    <n v="0"/>
    <n v="0"/>
    <n v="0.75183136306702636"/>
    <n v="0.19227905235486276"/>
    <n v="0"/>
    <n v="0"/>
    <m/>
    <m/>
    <m/>
    <n v="-633.29028195094634"/>
    <n v="0"/>
    <n v="0"/>
    <n v="275.02395000000001"/>
    <n v="-68.085900000000038"/>
    <n v="0"/>
    <n v="0"/>
    <n v="277.8702376300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0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2.11"/>
    <n v="2.11"/>
    <n v="2.11"/>
    <n v="2.11"/>
    <m/>
    <n v="415.98"/>
    <n v="215.17"/>
    <m/>
    <n v="1331.7265"/>
    <n v="1331.7265"/>
    <n v="1157.4193999999998"/>
    <n v="0"/>
    <n v="128.89272197873498"/>
    <n v="0"/>
    <n v="0"/>
    <n v="0"/>
    <n v="188.45586832476079"/>
    <n v="533.43013769121626"/>
    <n v="444.70768830363471"/>
    <n v="9.2987160578010695"/>
    <n v="0"/>
    <n v="0"/>
    <n v="0"/>
    <n v="0"/>
    <n v="19.917231814093576"/>
    <m/>
    <n v="2.4843086803532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405818862012044"/>
    <n v="0"/>
    <n v="0"/>
    <n v="0"/>
    <n v="1352.15"/>
    <n v="19"/>
    <m/>
    <m/>
    <m/>
    <m/>
    <m/>
    <n v="138.88019999999997"/>
    <m/>
    <m/>
    <m/>
    <n v="449.24827018983592"/>
    <m/>
    <m/>
    <m/>
    <m/>
    <m/>
    <m/>
    <m/>
    <m/>
    <m/>
    <m/>
    <m/>
    <m/>
    <n v="1018.5391999999999"/>
    <n v="-153.40589999999997"/>
    <m/>
    <m/>
    <m/>
    <m/>
    <n v="-231.65690000000004"/>
    <n v="57.349800000000009"/>
    <n v="29"/>
    <n v="59.742315781033767"/>
    <n v="0"/>
    <n v="0"/>
    <n v="0"/>
    <n v="0"/>
    <n v="0"/>
    <n v="0"/>
    <n v="0"/>
    <n v="7.8439444483658463"/>
    <n v="0"/>
    <n v="0"/>
    <n v="57.348713517021224"/>
    <n v="0"/>
    <n v="0"/>
    <n v="0"/>
    <n v="0.58554537427862474"/>
    <n v="0"/>
    <n v="-5.2406488454423368"/>
    <m/>
    <n v="0"/>
    <n v="0"/>
    <n v="0"/>
    <n v="0"/>
    <n v="-0.63327911220416411"/>
    <n v="-0.16195960098553286"/>
    <n v="0"/>
    <n v="0"/>
    <m/>
    <m/>
    <m/>
    <n v="533.43013769121626"/>
    <n v="0"/>
    <n v="0"/>
    <n v="-231.65690000000006"/>
    <n v="57.349800000000016"/>
    <n v="0"/>
    <n v="0"/>
    <n v="-234.05437181611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1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35.281999999999996"/>
    <n v="35.281999999999996"/>
    <n v="35.281999999999996"/>
    <n v="35.281999999999996"/>
    <m/>
    <n v="415.98"/>
    <n v="215.17"/>
    <m/>
    <n v="22268.234299999996"/>
    <n v="22268.234299999996"/>
    <n v="19353.588279999996"/>
    <n v="0"/>
    <n v="2155.2573539591126"/>
    <n v="0"/>
    <n v="0"/>
    <n v="0"/>
    <n v="3151.2322020067345"/>
    <n v="8919.6597715741664"/>
    <n v="7436.1026818620094"/>
    <n v="155.4868720148518"/>
    <n v="0"/>
    <n v="0"/>
    <n v="0"/>
    <n v="0"/>
    <n v="333.04254638144522"/>
    <m/>
    <n v="41.540937848447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24554554005169"/>
    <n v="0"/>
    <n v="0"/>
    <n v="0"/>
    <n v="6902.99"/>
    <n v="48"/>
    <m/>
    <m/>
    <m/>
    <m/>
    <m/>
    <m/>
    <m/>
    <m/>
    <m/>
    <n v="7512.0272364160146"/>
    <m/>
    <m/>
    <m/>
    <m/>
    <m/>
    <m/>
    <m/>
    <m/>
    <m/>
    <m/>
    <m/>
    <m/>
    <n v="19352.4912"/>
    <n v="-2915.7730999999985"/>
    <m/>
    <m/>
    <m/>
    <m/>
    <n v="-3873.6107800000004"/>
    <n v="958.96476000000018"/>
    <n v="29"/>
    <n v="998.97079876134012"/>
    <n v="0"/>
    <n v="0"/>
    <n v="0"/>
    <n v="0"/>
    <n v="0"/>
    <n v="0"/>
    <n v="0"/>
    <n v="131.16116020248546"/>
    <n v="0"/>
    <n v="0"/>
    <n v="958.94659256281648"/>
    <n v="0"/>
    <n v="0"/>
    <n v="0"/>
    <n v="9.7910956849755593"/>
    <n v="0"/>
    <n v="-87.630603111325399"/>
    <m/>
    <n v="0"/>
    <n v="0"/>
    <n v="0"/>
    <n v="0"/>
    <n v="-10.589267126439438"/>
    <n v="-2.7081794511713611"/>
    <n v="0"/>
    <n v="0"/>
    <m/>
    <m/>
    <m/>
    <n v="8919.6597715741664"/>
    <n v="0"/>
    <n v="0"/>
    <n v="-3873.6107800000009"/>
    <n v="958.96476000000075"/>
    <n v="0"/>
    <n v="0"/>
    <n v="-3913.6996902446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2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92.475999999999999"/>
    <n v="92.475999999999999"/>
    <n v="92.475999999999999"/>
    <n v="92.475999999999999"/>
    <m/>
    <n v="228.79"/>
    <n v="118.34"/>
    <m/>
    <n v="32101.193879999999"/>
    <n v="32101.193879999999"/>
    <n v="27899.084439999999"/>
    <n v="0"/>
    <n v="3106.9743349469254"/>
    <n v="0"/>
    <n v="0"/>
    <n v="0"/>
    <n v="4542.7510348627156"/>
    <n v="12858.396671669741"/>
    <n v="10719.731517043459"/>
    <n v="224.14665231690395"/>
    <n v="0"/>
    <n v="0"/>
    <n v="0"/>
    <n v="0"/>
    <n v="480.10723274031534"/>
    <m/>
    <n v="59.884555089285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45126435051529"/>
    <n v="0"/>
    <n v="0"/>
    <n v="0"/>
    <n v="13676.12"/>
    <n v="88"/>
    <m/>
    <m/>
    <m/>
    <m/>
    <m/>
    <m/>
    <m/>
    <m/>
    <m/>
    <n v="10829.182781393974"/>
    <m/>
    <m/>
    <m/>
    <m/>
    <m/>
    <m/>
    <m/>
    <m/>
    <m/>
    <m/>
    <m/>
    <m/>
    <n v="27900.2912"/>
    <n v="-4200.9326799999944"/>
    <m/>
    <m/>
    <m/>
    <m/>
    <n v="-5584.6256399999984"/>
    <n v="1382.5161999999989"/>
    <n v="29"/>
    <n v="1440.0956003753163"/>
    <n v="0"/>
    <n v="0"/>
    <n v="0"/>
    <n v="0"/>
    <n v="0"/>
    <n v="0"/>
    <n v="0"/>
    <n v="189.07921030515809"/>
    <n v="0"/>
    <n v="0"/>
    <n v="1382.3975341991281"/>
    <n v="0"/>
    <n v="0"/>
    <n v="0"/>
    <n v="14.114640624401105"/>
    <n v="0"/>
    <n v="-126.32646134934066"/>
    <m/>
    <n v="0"/>
    <n v="0"/>
    <n v="0"/>
    <n v="0"/>
    <n v="-15.26526803275209"/>
    <n v="-3.904055371282638"/>
    <n v="0"/>
    <n v="0"/>
    <m/>
    <m/>
    <m/>
    <n v="12858.396671669741"/>
    <n v="0"/>
    <n v="0"/>
    <n v="-5584.6256399999984"/>
    <n v="1382.5161999999982"/>
    <n v="0"/>
    <n v="0"/>
    <n v="-5641.9083641881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3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0.225000000000001"/>
    <n v="19.011500000000002"/>
    <n v="20.225000000000001"/>
    <n v="19.011500000000002"/>
    <m/>
    <n v="415.98"/>
    <n v="215.17"/>
    <m/>
    <n v="12765.008750000001"/>
    <n v="12765.008750000001"/>
    <n v="11094.2215"/>
    <n v="0"/>
    <n v="1235.4764464549362"/>
    <n v="0"/>
    <n v="0"/>
    <n v="0"/>
    <n v="1806.4075530181456"/>
    <n v="5113.092196589977"/>
    <n v="4262.6601876497689"/>
    <n v="89.131057947405992"/>
    <n v="0"/>
    <n v="0"/>
    <n v="0"/>
    <n v="0"/>
    <n v="190.91280257821924"/>
    <m/>
    <n v="23.812864009547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52287613669165"/>
    <n v="0"/>
    <n v="0"/>
    <n v="0"/>
    <n v="4655.3500000000004"/>
    <n v="4"/>
    <m/>
    <m/>
    <m/>
    <m/>
    <n v="665.65328999999986"/>
    <m/>
    <m/>
    <m/>
    <m/>
    <n v="4306.1830637864605"/>
    <m/>
    <m/>
    <m/>
    <m/>
    <m/>
    <m/>
    <m/>
    <m/>
    <m/>
    <m/>
    <m/>
    <m/>
    <n v="10427.7454"/>
    <n v="-1571.3928250000008"/>
    <m/>
    <m/>
    <m/>
    <m/>
    <n v="-2220.5027500000006"/>
    <n v="549.71550000000013"/>
    <n v="29"/>
    <n v="572.64850079213647"/>
    <n v="0"/>
    <n v="0"/>
    <n v="0"/>
    <n v="0"/>
    <n v="0"/>
    <n v="0"/>
    <n v="0"/>
    <n v="75.186623918578107"/>
    <n v="0"/>
    <n v="0"/>
    <n v="549.70508572595099"/>
    <n v="0"/>
    <n v="0"/>
    <n v="0"/>
    <n v="5.6126327937370561"/>
    <n v="0"/>
    <n v="-50.233233601455595"/>
    <m/>
    <n v="0"/>
    <n v="0"/>
    <n v="0"/>
    <n v="0"/>
    <n v="-6.070175376459332"/>
    <n v="-1.5524326682144114"/>
    <n v="0"/>
    <n v="0"/>
    <m/>
    <m/>
    <m/>
    <n v="5113.092196589977"/>
    <n v="0"/>
    <n v="0"/>
    <n v="-2220.5027500000015"/>
    <n v="549.71550000000025"/>
    <n v="0"/>
    <n v="0"/>
    <n v="-2243.483255915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4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88"/>
    <n v="3.88"/>
    <n v="3.88"/>
    <n v="3.88"/>
    <m/>
    <n v="415.98"/>
    <n v="215.17"/>
    <m/>
    <n v="2448.8620000000001"/>
    <n v="2448.8620000000001"/>
    <n v="2128.3352"/>
    <n v="0"/>
    <n v="237.01600060544635"/>
    <n v="0"/>
    <n v="0"/>
    <n v="0"/>
    <n v="346.5444403317876"/>
    <n v="980.90470817152573"/>
    <n v="817.75631782848473"/>
    <n v="17.099060807710021"/>
    <n v="0"/>
    <n v="0"/>
    <n v="0"/>
    <n v="0"/>
    <n v="36.62505186667444"/>
    <m/>
    <n v="4.5683022179007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3495060277064805"/>
    <n v="0"/>
    <n v="0"/>
    <n v="0"/>
    <n v="893.09"/>
    <n v="1"/>
    <m/>
    <m/>
    <m/>
    <m/>
    <m/>
    <m/>
    <m/>
    <m/>
    <m/>
    <n v="826.10582385619125"/>
    <m/>
    <m/>
    <m/>
    <m/>
    <m/>
    <m/>
    <m/>
    <m/>
    <m/>
    <m/>
    <m/>
    <m/>
    <n v="2128.3352"/>
    <n v="-320.55680000000029"/>
    <m/>
    <m/>
    <m/>
    <m/>
    <n v="-425.98520000000008"/>
    <n v="105.45840000000003"/>
    <n v="29"/>
    <n v="109.85790769213759"/>
    <n v="0"/>
    <n v="0"/>
    <n v="0"/>
    <n v="0"/>
    <n v="0"/>
    <n v="0"/>
    <n v="0"/>
    <n v="14.423935762871849"/>
    <n v="0"/>
    <n v="0"/>
    <n v="105.45640210712907"/>
    <n v="0"/>
    <n v="0"/>
    <n v="0"/>
    <n v="1.0767374654981356"/>
    <n v="0"/>
    <n v="-9.6368329480172292"/>
    <m/>
    <n v="0"/>
    <n v="0"/>
    <n v="0"/>
    <n v="0"/>
    <n v="-1.1645132489820611"/>
    <n v="-0.29782144636202279"/>
    <n v="0"/>
    <n v="0"/>
    <m/>
    <m/>
    <m/>
    <n v="980.90470817152573"/>
    <n v="0"/>
    <n v="0"/>
    <n v="-425.98520000000008"/>
    <n v="105.4584000000001"/>
    <n v="0"/>
    <n v="0"/>
    <n v="-430.39382115949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65.51"/>
    <n v="4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16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.6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17"/>
    <s v="Regular"/>
    <s v="Convencional"/>
    <s v="B2"/>
    <s v="Rural"/>
    <s v="Agropecuária rural"/>
    <s v="IRRIG./AQUIC."/>
    <s v="Não se aplica"/>
    <s v="Não se aplica"/>
    <s v="CATIVO"/>
    <x v="5"/>
    <n v="0"/>
    <n v="0"/>
    <n v="6.173"/>
    <n v="6.173"/>
    <n v="6.173"/>
    <n v="6.173"/>
    <m/>
    <n v="415.98"/>
    <n v="215.17"/>
    <m/>
    <n v="3896.0889500000003"/>
    <n v="3896.0889500000003"/>
    <n v="3386.13742"/>
    <n v="0"/>
    <n v="377.08757003541763"/>
    <n v="0"/>
    <n v="0"/>
    <n v="0"/>
    <n v="551.34505932168167"/>
    <n v="1560.5991658615537"/>
    <n v="1301.0334407101125"/>
    <n v="27.204253187111849"/>
    <n v="0"/>
    <n v="0"/>
    <n v="0"/>
    <n v="0"/>
    <n v="58.269702364170449"/>
    <m/>
    <n v="7.2680746368818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283891935317554"/>
    <n v="0"/>
    <n v="0"/>
    <n v="0"/>
    <n v="0"/>
    <n v="0"/>
    <m/>
    <m/>
    <m/>
    <m/>
    <m/>
    <n v="406.30685999999997"/>
    <m/>
    <m/>
    <m/>
    <n v="1314.31733264543"/>
    <m/>
    <m/>
    <m/>
    <m/>
    <m/>
    <m/>
    <m/>
    <m/>
    <m/>
    <m/>
    <m/>
    <m/>
    <n v="2978.3824"/>
    <n v="-450.19353000000092"/>
    <m/>
    <m/>
    <m/>
    <m/>
    <n v="-677.73367000000007"/>
    <n v="167.78214000000006"/>
    <n v="29"/>
    <n v="174.78166602669262"/>
    <n v="0"/>
    <n v="0"/>
    <n v="0"/>
    <n v="0"/>
    <n v="0"/>
    <n v="0"/>
    <n v="0"/>
    <n v="22.948184397991668"/>
    <n v="0"/>
    <n v="0"/>
    <n v="167.77896139363611"/>
    <n v="0"/>
    <n v="0"/>
    <n v="0"/>
    <n v="1.713067106835048"/>
    <n v="0"/>
    <n v="-15.332002522708876"/>
    <m/>
    <n v="0"/>
    <n v="0"/>
    <n v="0"/>
    <n v="0"/>
    <n v="-1.8527165685480114"/>
    <n v="-0.47382778051359953"/>
    <n v="0"/>
    <n v="0"/>
    <m/>
    <m/>
    <m/>
    <n v="1560.5991658615537"/>
    <n v="0"/>
    <n v="0"/>
    <n v="-677.73367000000007"/>
    <n v="167.78214000000003"/>
    <n v="0"/>
    <n v="0"/>
    <n v="-684.747695365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8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16200000000000001"/>
    <n v="0.16200000000000001"/>
    <n v="0.16200000000000001"/>
    <n v="0.16200000000000001"/>
    <m/>
    <n v="415.98"/>
    <n v="215.17"/>
    <m/>
    <n v="102.24630000000001"/>
    <n v="102.24630000000001"/>
    <n v="88.86348000000001"/>
    <n v="0"/>
    <n v="9.896028891258327"/>
    <n v="0"/>
    <n v="0"/>
    <n v="0"/>
    <n v="14.469123539626185"/>
    <n v="40.955299671079167"/>
    <n v="34.143433888715087"/>
    <n v="0.71392985846624324"/>
    <n v="0"/>
    <n v="0"/>
    <n v="0"/>
    <n v="0"/>
    <n v="1.5291903098972319"/>
    <m/>
    <n v="0.19073839157214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4861339600217783"/>
    <n v="0"/>
    <n v="0"/>
    <n v="0"/>
    <n v="0"/>
    <n v="0"/>
    <m/>
    <m/>
    <m/>
    <m/>
    <m/>
    <n v="10.662839999999999"/>
    <m/>
    <m/>
    <m/>
    <n v="34.492047284717266"/>
    <m/>
    <m/>
    <m/>
    <m/>
    <m/>
    <m/>
    <m/>
    <m/>
    <m/>
    <m/>
    <m/>
    <m/>
    <n v="77.235200000000006"/>
    <n v="-12.77122"/>
    <m/>
    <m/>
    <m/>
    <m/>
    <n v="-17.785980000000002"/>
    <n v="4.4031600000000015"/>
    <n v="29"/>
    <n v="4.5868507850841027"/>
    <n v="0"/>
    <n v="0"/>
    <n v="0"/>
    <n v="0"/>
    <n v="0"/>
    <n v="0"/>
    <n v="0"/>
    <n v="0.60223649319206984"/>
    <n v="0"/>
    <n v="0"/>
    <n v="4.4030765828234308"/>
    <n v="0"/>
    <n v="0"/>
    <n v="0"/>
    <n v="4.4956564281107669E-2"/>
    <n v="0"/>
    <n v="-0.4023626127780382"/>
    <m/>
    <n v="0"/>
    <n v="0"/>
    <n v="0"/>
    <n v="0"/>
    <n v="-4.8621429467807786E-2"/>
    <n v="-1.2434812966661768E-2"/>
    <n v="0"/>
    <n v="0"/>
    <m/>
    <m/>
    <m/>
    <n v="40.955299671079167"/>
    <n v="0"/>
    <n v="0"/>
    <n v="-17.785980000000002"/>
    <n v="4.4031599999999997"/>
    <n v="0"/>
    <n v="0"/>
    <n v="-17.970051295834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19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7.8330000000000002"/>
    <n v="3.1332"/>
    <n v="7.8330000000000002"/>
    <n v="3.1332"/>
    <m/>
    <n v="415.98"/>
    <n v="215.17"/>
    <m/>
    <n v="4943.7979500000001"/>
    <n v="4943.7979500000001"/>
    <n v="4296.7138199999999"/>
    <n v="0"/>
    <n v="478.49132287176838"/>
    <n v="0"/>
    <n v="0"/>
    <n v="0"/>
    <n v="699.6089178141475"/>
    <n v="1980.2645822442169"/>
    <n v="1650.8982571006497"/>
    <n v="34.519830749173352"/>
    <n v="0"/>
    <n v="0"/>
    <n v="0"/>
    <n v="0"/>
    <n v="73.939183317438378"/>
    <m/>
    <n v="9.22255445175693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56103277068264"/>
    <n v="0"/>
    <n v="0"/>
    <n v="0"/>
    <n v="0"/>
    <n v="0"/>
    <m/>
    <m/>
    <m/>
    <m/>
    <m/>
    <m/>
    <n v="2784.2555159999993"/>
    <m/>
    <m/>
    <n v="1667.7543603777181"/>
    <m/>
    <m/>
    <m/>
    <m/>
    <m/>
    <m/>
    <m/>
    <m/>
    <m/>
    <m/>
    <m/>
    <m/>
    <n v="1510.9135999999999"/>
    <n v="-229.3270120000002"/>
    <m/>
    <m/>
    <m/>
    <m/>
    <n v="-859.98507000000018"/>
    <n v="212.90094000000005"/>
    <n v="29"/>
    <n v="221.782729626937"/>
    <n v="0"/>
    <n v="0"/>
    <n v="0"/>
    <n v="0"/>
    <n v="0"/>
    <n v="0"/>
    <n v="0"/>
    <n v="29.119249698601834"/>
    <n v="0"/>
    <n v="0"/>
    <n v="212.89690662503676"/>
    <n v="0"/>
    <n v="0"/>
    <n v="0"/>
    <n v="2.1737331358883729"/>
    <n v="0"/>
    <n v="-19.454977443767746"/>
    <m/>
    <n v="0"/>
    <n v="0"/>
    <n v="0"/>
    <n v="0"/>
    <n v="-2.3509361544526968"/>
    <n v="-0.60124623436951552"/>
    <n v="0"/>
    <n v="0"/>
    <m/>
    <m/>
    <m/>
    <n v="1980.2645822442169"/>
    <n v="0"/>
    <n v="0"/>
    <n v="-859.98507000000018"/>
    <n v="212.90093999999999"/>
    <n v="0"/>
    <n v="0"/>
    <n v="-868.88525802637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0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0.152"/>
    <n v="6.08E-2"/>
    <n v="0.152"/>
    <n v="6.08E-2"/>
    <m/>
    <n v="415.98"/>
    <n v="215.17"/>
    <m/>
    <n v="95.934799999999996"/>
    <n v="95.934799999999996"/>
    <n v="83.378079999999997"/>
    <n v="0"/>
    <n v="9.2851629103164548"/>
    <n v="0"/>
    <n v="0"/>
    <n v="0"/>
    <n v="13.575967765575184"/>
    <n v="38.427194753111316"/>
    <n v="32.03581451286847"/>
    <n v="0.66986011411647517"/>
    <n v="0"/>
    <n v="0"/>
    <n v="0"/>
    <n v="0"/>
    <n v="1.4347958463233286"/>
    <m/>
    <n v="0.17896441678374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709405056994462"/>
    <n v="0"/>
    <n v="0"/>
    <n v="0"/>
    <n v="0"/>
    <n v="0"/>
    <m/>
    <m/>
    <m/>
    <m/>
    <m/>
    <m/>
    <n v="54.028703999999998"/>
    <m/>
    <m/>
    <n v="32.362908563438417"/>
    <m/>
    <m/>
    <m/>
    <m/>
    <m/>
    <m/>
    <m/>
    <m/>
    <m/>
    <m/>
    <m/>
    <m/>
    <n v="28.963200000000001"/>
    <n v="-4.835727999999996"/>
    <m/>
    <m/>
    <m/>
    <m/>
    <n v="-16.688080000000003"/>
    <n v="4.1313600000000008"/>
    <n v="29"/>
    <n v="4.3037118477332328"/>
    <n v="0"/>
    <n v="0"/>
    <n v="0"/>
    <n v="0"/>
    <n v="0"/>
    <n v="0"/>
    <n v="0"/>
    <n v="0.56506140101972058"/>
    <n v="0"/>
    <n v="0"/>
    <n v="4.1312817320318658"/>
    <n v="0"/>
    <n v="0"/>
    <n v="0"/>
    <n v="4.2181467720545485E-2"/>
    <n v="0"/>
    <n v="-0.37752541445840571"/>
    <m/>
    <n v="0"/>
    <n v="0"/>
    <n v="0"/>
    <n v="0"/>
    <n v="-4.5620106661152793E-2"/>
    <n v="-1.1667231919336968E-2"/>
    <n v="0"/>
    <n v="0"/>
    <m/>
    <m/>
    <m/>
    <n v="38.427194753111316"/>
    <n v="0"/>
    <n v="0"/>
    <n v="-16.688079999999999"/>
    <n v="4.1313600000000008"/>
    <n v="0"/>
    <n v="0"/>
    <n v="-16.860788870165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78.2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"/>
    <s v="Não se aplica"/>
    <s v="Não se aplica"/>
    <s v="CATIVO"/>
    <x v="5"/>
    <n v="0"/>
    <n v="0"/>
    <n v="0.88600000000000001"/>
    <n v="0.88600000000000001"/>
    <n v="0.88600000000000001"/>
    <n v="0.88600000000000001"/>
    <m/>
    <n v="415.98"/>
    <n v="215.17"/>
    <m/>
    <n v="559.19889999999998"/>
    <n v="559.19889999999998"/>
    <n v="486.00644"/>
    <n v="0"/>
    <n v="54.122725911449862"/>
    <n v="0"/>
    <n v="0"/>
    <n v="0"/>
    <n v="79.133601580918508"/>
    <n v="223.9900957319515"/>
    <n v="186.73507670000967"/>
    <n v="3.9045793493894538"/>
    <n v="0"/>
    <n v="0"/>
    <n v="0"/>
    <n v="0"/>
    <n v="8.3633494726478244"/>
    <m/>
    <n v="1.0431741662526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066140052958616"/>
    <n v="0"/>
    <n v="0"/>
    <n v="0"/>
    <n v="0"/>
    <n v="0"/>
    <m/>
    <m/>
    <m/>
    <m/>
    <m/>
    <n v="58.316519999999997"/>
    <m/>
    <m/>
    <m/>
    <n v="188.64169070530554"/>
    <m/>
    <m/>
    <m/>
    <m/>
    <m/>
    <m/>
    <m/>
    <m/>
    <m/>
    <m/>
    <m/>
    <m/>
    <n v="429.62080000000003"/>
    <n v="-62.502459999999928"/>
    <m/>
    <m/>
    <m/>
    <m/>
    <n v="-97.273940000000024"/>
    <n v="24.081480000000006"/>
    <n v="29"/>
    <n v="25.086109849287141"/>
    <n v="0"/>
    <n v="0"/>
    <n v="0"/>
    <n v="0"/>
    <n v="0"/>
    <n v="0"/>
    <n v="0"/>
    <n v="3.2937131664702264"/>
    <n v="0"/>
    <n v="0"/>
    <n v="24.08102378013308"/>
    <n v="0"/>
    <n v="0"/>
    <n v="0"/>
    <n v="0.24587355526581089"/>
    <n v="0"/>
    <n v="-2.2005757711193965"/>
    <m/>
    <n v="0"/>
    <n v="0"/>
    <n v="0"/>
    <n v="0"/>
    <n v="-0.26591720066961599"/>
    <n v="-6.8007680792977365E-2"/>
    <n v="0"/>
    <n v="0"/>
    <m/>
    <m/>
    <m/>
    <n v="223.9900957319515"/>
    <n v="0"/>
    <n v="0"/>
    <n v="-97.273940000000039"/>
    <n v="24.081479999999999"/>
    <n v="0"/>
    <n v="0"/>
    <n v="-98.28065091425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3"/>
    <s v="Regular"/>
    <s v="Convencional"/>
    <s v="B2"/>
    <s v="Rural"/>
    <s v="Aquicultura"/>
    <s v="IRRIG./AQUIC. PR"/>
    <s v="Não se aplica"/>
    <s v="Não se aplica"/>
    <s v="CATIVO"/>
    <x v="5"/>
    <n v="0"/>
    <n v="0"/>
    <n v="3.9550000000000001"/>
    <n v="1.5820000000000001"/>
    <n v="3.9550000000000001"/>
    <n v="1.5820000000000001"/>
    <m/>
    <n v="415.98"/>
    <n v="215.17"/>
    <m/>
    <n v="2496.1982499999999"/>
    <n v="2496.1982499999999"/>
    <n v="2169.4757"/>
    <n v="0"/>
    <n v="241.59749546251038"/>
    <n v="0"/>
    <n v="0"/>
    <n v="0"/>
    <n v="353.24310863717011"/>
    <n v="999.86549505628466"/>
    <n v="833.56346314733435"/>
    <n v="17.429583890333284"/>
    <n v="0"/>
    <n v="0"/>
    <n v="0"/>
    <n v="0"/>
    <n v="37.333010343478719"/>
    <m/>
    <n v="4.6566070288138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109011184482295"/>
    <n v="0"/>
    <n v="0"/>
    <n v="0"/>
    <n v="0"/>
    <n v="0"/>
    <m/>
    <m/>
    <m/>
    <m/>
    <m/>
    <m/>
    <n v="1405.8126600000001"/>
    <m/>
    <m/>
    <n v="842.07436426578261"/>
    <m/>
    <m/>
    <m/>
    <m/>
    <m/>
    <m/>
    <m/>
    <m/>
    <m/>
    <m/>
    <m/>
    <m/>
    <n v="762.69759999999997"/>
    <n v="-115.99102000000005"/>
    <m/>
    <m/>
    <m/>
    <m/>
    <n v="-434.21945000000011"/>
    <n v="107.49690000000002"/>
    <n v="29"/>
    <n v="111.98144972226942"/>
    <n v="0"/>
    <n v="0"/>
    <n v="0"/>
    <n v="0"/>
    <n v="0"/>
    <n v="0"/>
    <n v="0"/>
    <n v="14.702748954164463"/>
    <n v="0"/>
    <n v="0"/>
    <n v="107.4948634880659"/>
    <n v="0"/>
    <n v="0"/>
    <n v="0"/>
    <n v="1.0975506897023521"/>
    <n v="0"/>
    <n v="-9.8231119354144312"/>
    <m/>
    <n v="0"/>
    <n v="0"/>
    <n v="0"/>
    <n v="0"/>
    <n v="-1.1870231700319778"/>
    <n v="-0.30357830421695908"/>
    <n v="0"/>
    <n v="0"/>
    <m/>
    <m/>
    <m/>
    <n v="999.86549505628466"/>
    <n v="0"/>
    <n v="0"/>
    <n v="-434.21945000000005"/>
    <n v="107.49689999999998"/>
    <n v="0"/>
    <n v="0"/>
    <n v="-438.71328935201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4"/>
    <s v="Regular"/>
    <s v="Convencional"/>
    <s v="B1"/>
    <s v="Residencial"/>
    <s v="Residencial"/>
    <s v="Não se aplica"/>
    <s v="Não se aplica"/>
    <s v="Não se aplica"/>
    <s v="CATIVO"/>
    <x v="6"/>
    <n v="0"/>
    <n v="0"/>
    <n v="532.94500000000005"/>
    <n v="532.94500000000005"/>
    <n v="532.94500000000005"/>
    <n v="532.94500000000005"/>
    <m/>
    <n v="415.98"/>
    <n v="215.17"/>
    <m/>
    <n v="336368.23675000004"/>
    <n v="336368.23675000004"/>
    <n v="292341.65029999998"/>
    <n v="0"/>
    <n v="32555.7970213066"/>
    <n v="0"/>
    <n v="0"/>
    <n v="0"/>
    <n v="47600.290400160971"/>
    <n v="134734.08755063757"/>
    <n v="112324.52082605717"/>
    <n v="2348.6749902487163"/>
    <n v="0"/>
    <n v="0"/>
    <n v="0"/>
    <n v="0"/>
    <n v="5030.7057389393849"/>
    <m/>
    <n v="627.4880993606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6.8627551381524"/>
    <n v="0"/>
    <n v="0"/>
    <n v="0"/>
    <n v="76570.399999999994"/>
    <n v="2822"/>
    <m/>
    <m/>
    <m/>
    <m/>
    <m/>
    <m/>
    <m/>
    <m/>
    <m/>
    <n v="113471.38358119532"/>
    <m/>
    <m/>
    <m/>
    <m/>
    <m/>
    <m/>
    <m/>
    <m/>
    <m/>
    <m/>
    <m/>
    <m/>
    <n v="292344.39300000004"/>
    <n v="-44023.873750000028"/>
    <m/>
    <m/>
    <m/>
    <m/>
    <n v="-58512.031550000014"/>
    <n v="14485.445100000004"/>
    <n v="31"/>
    <n v="15089.748096645955"/>
    <n v="0"/>
    <n v="0"/>
    <n v="0"/>
    <n v="0"/>
    <n v="0"/>
    <n v="0"/>
    <n v="0"/>
    <n v="1981.2279497793133"/>
    <n v="0"/>
    <n v="0"/>
    <n v="14485.170675511326"/>
    <n v="0"/>
    <n v="0"/>
    <n v="0"/>
    <n v="147.89738364688219"/>
    <n v="0"/>
    <n v="-1323.6860658456244"/>
    <m/>
    <n v="0"/>
    <n v="0"/>
    <n v="0"/>
    <n v="0"/>
    <n v="-159.95399831926443"/>
    <n v="-40.907848126651629"/>
    <n v="0"/>
    <n v="0"/>
    <m/>
    <m/>
    <m/>
    <n v="134734.08755063757"/>
    <n v="0"/>
    <n v="0"/>
    <n v="-58512.031550000043"/>
    <n v="14485.445099999997"/>
    <n v="0"/>
    <n v="0"/>
    <n v="-59117.586344805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5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1.036"/>
    <n v="-1.036"/>
    <n v="-1.036"/>
    <n v="-1.036"/>
    <m/>
    <n v="415.98"/>
    <n v="215.17"/>
    <m/>
    <n v="-653.87139999999999"/>
    <n v="-653.87139999999999"/>
    <n v="-568.28744000000006"/>
    <n v="0"/>
    <n v="-63.285715625577943"/>
    <n v="0"/>
    <n v="0"/>
    <n v="0"/>
    <n v="-92.530938191683504"/>
    <n v="-261.91166950146925"/>
    <n v="-218.34936733770883"/>
    <n v="-4.5656255146359754"/>
    <n v="0"/>
    <n v="0"/>
    <n v="0"/>
    <n v="0"/>
    <n v="-9.7792664262563722"/>
    <m/>
    <n v="-1.2197837880786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2294041867793597"/>
    <n v="0"/>
    <n v="0"/>
    <n v="0"/>
    <n v="-189.36"/>
    <n v="0"/>
    <m/>
    <m/>
    <m/>
    <m/>
    <m/>
    <m/>
    <m/>
    <m/>
    <m/>
    <n v="-220.57877152448819"/>
    <m/>
    <m/>
    <m/>
    <m/>
    <m/>
    <m/>
    <m/>
    <m/>
    <m/>
    <m/>
    <m/>
    <m/>
    <n v="-570.48160000000007"/>
    <n v="83.35979999999995"/>
    <m/>
    <m/>
    <m/>
    <m/>
    <n v="113.74244000000003"/>
    <n v="-28.158480000000008"/>
    <n v="31"/>
    <n v="-29.333193909550232"/>
    <n v="0"/>
    <n v="0"/>
    <n v="0"/>
    <n v="0"/>
    <n v="0"/>
    <n v="0"/>
    <n v="0"/>
    <n v="-3.8513395490554672"/>
    <n v="0"/>
    <n v="0"/>
    <n v="-28.157946542006641"/>
    <n v="0"/>
    <n v="0"/>
    <n v="0"/>
    <n v="-0.28750000367424411"/>
    <n v="0"/>
    <n v="2.5731337459138715"/>
    <m/>
    <n v="0"/>
    <n v="0"/>
    <n v="0"/>
    <n v="0"/>
    <n v="0.3109370427694369"/>
    <n v="7.9521396502849395E-2"/>
    <n v="0"/>
    <n v="0"/>
    <m/>
    <m/>
    <m/>
    <n v="-261.91166950146925"/>
    <n v="0"/>
    <n v="0"/>
    <n v="113.74243999999999"/>
    <n v="-28.158479999999997"/>
    <n v="0"/>
    <n v="0"/>
    <n v="114.9195872992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6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.6539999999999999"/>
    <n v="2.6539999999999999"/>
    <n v="2.6539999999999999"/>
    <n v="2.6539999999999999"/>
    <m/>
    <n v="415.98"/>
    <n v="215.17"/>
    <m/>
    <n v="1675.0720999999999"/>
    <n v="1675.0720999999999"/>
    <n v="1455.8251599999999"/>
    <n v="0"/>
    <n v="162.12383134197282"/>
    <n v="0"/>
    <n v="0"/>
    <n v="0"/>
    <n v="237.04354243313514"/>
    <n v="670.95904522866738"/>
    <n v="559.36218234969033"/>
    <n v="11.696110150428453"/>
    <n v="0"/>
    <n v="0"/>
    <n v="0"/>
    <n v="0"/>
    <n v="25.052290632513909"/>
    <m/>
    <n v="3.1248129088424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112342777146905"/>
    <n v="0"/>
    <n v="0"/>
    <n v="0"/>
    <n v="886.54"/>
    <n v="18"/>
    <m/>
    <m/>
    <m/>
    <m/>
    <m/>
    <m/>
    <m/>
    <m/>
    <m/>
    <n v="565.07341662740498"/>
    <m/>
    <m/>
    <m/>
    <m/>
    <m/>
    <m/>
    <m/>
    <m/>
    <m/>
    <m/>
    <m/>
    <m/>
    <n v="1453.6309999999999"/>
    <n v="-221.47109999999998"/>
    <m/>
    <m/>
    <m/>
    <m/>
    <n v="-291.38266000000004"/>
    <n v="72.13572000000002"/>
    <n v="31"/>
    <n v="75.145073972921182"/>
    <n v="0"/>
    <n v="0"/>
    <n v="0"/>
    <n v="0"/>
    <n v="0"/>
    <n v="0"/>
    <n v="0"/>
    <n v="9.8662694625416805"/>
    <n v="0"/>
    <n v="0"/>
    <n v="72.134353400082659"/>
    <n v="0"/>
    <n v="0"/>
    <n v="0"/>
    <n v="0.73651062717320848"/>
    <n v="0"/>
    <n v="-6.5917924340303102"/>
    <m/>
    <n v="0"/>
    <n v="0"/>
    <n v="0"/>
    <n v="0"/>
    <n v="-0.79655107288618154"/>
    <n v="-0.20371600996000216"/>
    <n v="0"/>
    <n v="0"/>
    <m/>
    <m/>
    <m/>
    <n v="670.95904522866738"/>
    <n v="0"/>
    <n v="0"/>
    <n v="-291.38265999999999"/>
    <n v="72.135719999999992"/>
    <n v="0"/>
    <n v="0"/>
    <n v="-294.3982477724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7.2"/>
    <n v="7.2"/>
    <n v="7.2"/>
    <n v="7.2"/>
    <m/>
    <n v="345.46"/>
    <n v="215.17"/>
    <m/>
    <n v="4036.5360000000001"/>
    <n v="4036.5360000000001"/>
    <n v="3461.76"/>
    <n v="0"/>
    <n v="0"/>
    <n v="0"/>
    <n v="0"/>
    <n v="0"/>
    <n v="643.07215731671931"/>
    <n v="1820.235540936852"/>
    <n v="1517.4859506095593"/>
    <n v="31.730215931833033"/>
    <n v="0"/>
    <n v="0"/>
    <n v="0"/>
    <n v="0"/>
    <n v="0"/>
    <m/>
    <n v="8.4772618476509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93928711207904"/>
    <n v="0"/>
    <n v="0"/>
    <n v="0"/>
    <n v="163.19999999999999"/>
    <n v="12"/>
    <m/>
    <m/>
    <m/>
    <m/>
    <m/>
    <m/>
    <m/>
    <n v="2250.1440000000002"/>
    <m/>
    <n v="1532.9798793207672"/>
    <m/>
    <m/>
    <m/>
    <m/>
    <m/>
    <m/>
    <m/>
    <m/>
    <m/>
    <m/>
    <m/>
    <m/>
    <n v="1211.616"/>
    <n v="-201.19800000000009"/>
    <m/>
    <m/>
    <m/>
    <m/>
    <n v="-770.47199999999998"/>
    <n v="195.69600000000005"/>
    <n v="31"/>
    <n v="223.9037701035536"/>
    <n v="0"/>
    <n v="0"/>
    <n v="0"/>
    <n v="0"/>
    <n v="0"/>
    <n v="0"/>
    <n v="0"/>
    <n v="26.766066364092012"/>
    <n v="0"/>
    <n v="0"/>
    <n v="195.69229256993049"/>
    <n v="0"/>
    <n v="0"/>
    <n v="0"/>
    <n v="1.9980695236047872"/>
    <n v="0"/>
    <n v="0"/>
    <m/>
    <n v="0"/>
    <n v="0"/>
    <n v="0"/>
    <n v="0"/>
    <n v="0"/>
    <n v="-0.55265835407385744"/>
    <n v="0"/>
    <n v="0"/>
    <m/>
    <m/>
    <m/>
    <n v="1820.235540936852"/>
    <n v="0"/>
    <n v="0"/>
    <n v="-770.47199999999998"/>
    <n v="195.69600000000014"/>
    <n v="0"/>
    <n v="0"/>
    <n v="-798.66894648153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4.694000000000001"/>
    <n v="14.694000000000001"/>
    <n v="14.694000000000001"/>
    <n v="14.694000000000001"/>
    <m/>
    <n v="345.46"/>
    <n v="215.17"/>
    <m/>
    <n v="8237.8972199999989"/>
    <n v="8237.8972199999989"/>
    <n v="7064.8752000000004"/>
    <n v="0"/>
    <n v="0"/>
    <n v="0"/>
    <n v="0"/>
    <n v="0"/>
    <n v="1312.4030943905379"/>
    <n v="3714.797366461959"/>
    <n v="3096.9359108690091"/>
    <n v="64.756082347549253"/>
    <n v="0"/>
    <n v="0"/>
    <n v="0"/>
    <n v="0"/>
    <n v="0"/>
    <m/>
    <n v="17.300678554080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620526178123466"/>
    <n v="0"/>
    <n v="0"/>
    <n v="0"/>
    <n v="577.37"/>
    <n v="44"/>
    <m/>
    <m/>
    <m/>
    <m/>
    <m/>
    <m/>
    <m/>
    <n v="2825.9500800000001"/>
    <m/>
    <n v="3128.5564370471325"/>
    <m/>
    <m/>
    <m/>
    <m/>
    <m/>
    <m/>
    <m/>
    <m/>
    <m/>
    <m/>
    <m/>
    <m/>
    <n v="4237.7711999999992"/>
    <n v="-704.87958000000162"/>
    <m/>
    <m/>
    <m/>
    <m/>
    <n v="-1572.4049399999999"/>
    <n v="399.38292000000013"/>
    <n v="31"/>
    <n v="456.95027748633584"/>
    <n v="0"/>
    <n v="0"/>
    <n v="0"/>
    <n v="0"/>
    <n v="0"/>
    <n v="0"/>
    <n v="0"/>
    <n v="54.625080438051327"/>
    <n v="0"/>
    <n v="0"/>
    <n v="399.37535375313291"/>
    <n v="0"/>
    <n v="0"/>
    <n v="0"/>
    <n v="4.077726886090101"/>
    <n v="0"/>
    <n v="0"/>
    <m/>
    <n v="0"/>
    <n v="0"/>
    <n v="0"/>
    <n v="0"/>
    <n v="0"/>
    <n v="-1.1278835909390637"/>
    <n v="0"/>
    <n v="0"/>
    <m/>
    <m/>
    <m/>
    <n v="3714.797366461959"/>
    <n v="0"/>
    <n v="0"/>
    <n v="-1572.4049399999994"/>
    <n v="399.38292000000001"/>
    <n v="0"/>
    <n v="0"/>
    <n v="-1629.9502082777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29"/>
    <s v="Refaturamento - 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-5.0000000000000001E-3"/>
    <n v="-5.0000000000000001E-3"/>
    <n v="-5.0000000000000001E-3"/>
    <n v="-5.0000000000000001E-3"/>
    <m/>
    <n v="345.46"/>
    <n v="215.17"/>
    <m/>
    <n v="-2.8031499999999996"/>
    <n v="-2.8031499999999996"/>
    <n v="-2.4039999999999999"/>
    <n v="0"/>
    <n v="0"/>
    <n v="0"/>
    <n v="0"/>
    <n v="0"/>
    <n v="-0.4465778870254995"/>
    <n v="-1.264052458983925"/>
    <n v="-1.053809687923305"/>
    <n v="-2.2034872174884052E-2"/>
    <n v="0"/>
    <n v="0"/>
    <n v="0"/>
    <n v="0"/>
    <n v="0"/>
    <m/>
    <n v="-5.88698739420205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7596727161166E-2"/>
    <n v="0"/>
    <n v="0"/>
    <n v="0"/>
    <n v="-0.06"/>
    <n v="0"/>
    <m/>
    <m/>
    <m/>
    <m/>
    <m/>
    <m/>
    <m/>
    <n v="-0.96160000000000001"/>
    <m/>
    <n v="-1.0645693606394215"/>
    <m/>
    <m/>
    <m/>
    <m/>
    <m/>
    <m/>
    <m/>
    <m/>
    <m/>
    <m/>
    <m/>
    <m/>
    <n v="-2.8847999999999998"/>
    <n v="-1.2329499999999998"/>
    <m/>
    <m/>
    <m/>
    <m/>
    <n v="0.53504999999999991"/>
    <n v="-0.13590000000000005"/>
    <n v="31"/>
    <n v="-0.15548872923857893"/>
    <n v="0"/>
    <n v="0"/>
    <n v="0"/>
    <n v="0"/>
    <n v="0"/>
    <n v="0"/>
    <n v="0"/>
    <n v="-1.8587546086175022E-2"/>
    <n v="0"/>
    <n v="0"/>
    <n v="-0.13589742539578498"/>
    <n v="0"/>
    <n v="0"/>
    <n v="0"/>
    <n v="-1.387548280281101E-3"/>
    <n v="0"/>
    <n v="0"/>
    <m/>
    <n v="0"/>
    <n v="0"/>
    <n v="0"/>
    <n v="0"/>
    <n v="0"/>
    <n v="3.8379052366240094E-4"/>
    <n v="0"/>
    <n v="0"/>
    <m/>
    <m/>
    <m/>
    <n v="-1.264052458983925"/>
    <n v="0"/>
    <n v="0"/>
    <n v="0.5350499999999998"/>
    <n v="-0.13590000000000013"/>
    <n v="0"/>
    <n v="0"/>
    <n v="0.5546312128343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0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4.22"/>
    <n v="14.22"/>
    <n v="14.22"/>
    <n v="14.22"/>
    <m/>
    <n v="345.46"/>
    <n v="215.17"/>
    <m/>
    <n v="7972.1586000000007"/>
    <n v="7972.1586000000007"/>
    <n v="6836.9760000000006"/>
    <n v="0"/>
    <n v="0"/>
    <n v="0"/>
    <n v="0"/>
    <n v="0"/>
    <n v="1270.0675107005206"/>
    <n v="3594.9651933502828"/>
    <n v="2997.0347524538797"/>
    <n v="62.66717646537024"/>
    <n v="0"/>
    <n v="0"/>
    <n v="0"/>
    <n v="0"/>
    <n v="0"/>
    <m/>
    <n v="16.742592149110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0050920463561"/>
    <n v="0"/>
    <n v="0"/>
    <n v="0"/>
    <n v="1405.83"/>
    <n v="118"/>
    <m/>
    <m/>
    <m/>
    <m/>
    <m/>
    <m/>
    <m/>
    <n v="683.83979999999974"/>
    <m/>
    <n v="3027.6352616585154"/>
    <m/>
    <m/>
    <m/>
    <m/>
    <m/>
    <m/>
    <m/>
    <m/>
    <m/>
    <m/>
    <m/>
    <m/>
    <n v="6153.1362000000008"/>
    <n v="-1021.737000000001"/>
    <m/>
    <m/>
    <m/>
    <m/>
    <n v="-1521.6822"/>
    <n v="386.4996000000001"/>
    <n v="31"/>
    <n v="442.20994595451793"/>
    <n v="0"/>
    <n v="0"/>
    <n v="0"/>
    <n v="0"/>
    <n v="0"/>
    <n v="0"/>
    <n v="0"/>
    <n v="52.862981069081798"/>
    <n v="0"/>
    <n v="0"/>
    <n v="386.49227782561229"/>
    <n v="0"/>
    <n v="0"/>
    <n v="0"/>
    <n v="3.9461873091194484"/>
    <n v="0"/>
    <n v="0"/>
    <m/>
    <n v="0"/>
    <n v="0"/>
    <n v="0"/>
    <n v="0"/>
    <n v="0"/>
    <n v="-1.0915002492958674"/>
    <n v="0"/>
    <n v="0"/>
    <m/>
    <m/>
    <m/>
    <n v="3594.9651933502828"/>
    <n v="0"/>
    <n v="0"/>
    <n v="-1521.6822000000002"/>
    <n v="386.4996000000001"/>
    <n v="0"/>
    <n v="0"/>
    <n v="-1577.37116930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1"/>
    <s v="Refaturamento - 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-0.14499999999999999"/>
    <n v="-0.14499999999999999"/>
    <n v="-0.14499999999999999"/>
    <n v="-0.14499999999999999"/>
    <m/>
    <n v="345.46"/>
    <n v="215.17"/>
    <m/>
    <n v="-81.291349999999994"/>
    <n v="-81.291349999999994"/>
    <n v="-69.715999999999994"/>
    <n v="0"/>
    <n v="0"/>
    <n v="0"/>
    <n v="0"/>
    <n v="0"/>
    <n v="-12.950758723739485"/>
    <n v="-36.657521310533824"/>
    <n v="-30.560480949775844"/>
    <n v="-0.6390112930716374"/>
    <n v="0"/>
    <n v="0"/>
    <n v="0"/>
    <n v="0"/>
    <n v="0"/>
    <m/>
    <n v="-0.17072263443185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1203050876738136"/>
    <n v="0"/>
    <n v="0"/>
    <n v="0"/>
    <n v="-18.329999999999998"/>
    <n v="0"/>
    <m/>
    <m/>
    <m/>
    <m/>
    <m/>
    <m/>
    <m/>
    <n v="-6.9730499999999962"/>
    <m/>
    <n v="-30.872511458543226"/>
    <m/>
    <m/>
    <m/>
    <m/>
    <m/>
    <m/>
    <m/>
    <m/>
    <m/>
    <m/>
    <m/>
    <m/>
    <n v="-64.906499999999994"/>
    <n v="8.2246999999999986"/>
    <m/>
    <m/>
    <m/>
    <m/>
    <n v="15.516449999999997"/>
    <n v="-3.9411000000000009"/>
    <n v="31"/>
    <n v="-4.5091731479187729"/>
    <n v="0"/>
    <n v="0"/>
    <n v="0"/>
    <n v="0"/>
    <n v="0"/>
    <n v="0"/>
    <n v="0"/>
    <n v="-0.53903883649907591"/>
    <n v="0"/>
    <n v="0"/>
    <n v="-3.9410253364777645"/>
    <n v="0"/>
    <n v="0"/>
    <n v="0"/>
    <n v="-4.0238900128151955E-2"/>
    <n v="0"/>
    <n v="0"/>
    <m/>
    <n v="0"/>
    <n v="0"/>
    <n v="0"/>
    <n v="0"/>
    <n v="0"/>
    <n v="1.1129925186209616E-2"/>
    <n v="0"/>
    <n v="0"/>
    <m/>
    <m/>
    <m/>
    <n v="-36.657521310533824"/>
    <n v="0"/>
    <n v="0"/>
    <n v="15.516449999999999"/>
    <n v="-3.9411000000000023"/>
    <n v="0"/>
    <n v="0"/>
    <n v="16.084305172197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2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5.7759999999999998"/>
    <n v="5.7759999999999998"/>
    <n v="5.7759999999999998"/>
    <n v="5.7759999999999998"/>
    <m/>
    <n v="345.46"/>
    <n v="215.17"/>
    <m/>
    <n v="3238.1988799999999"/>
    <n v="3238.1988799999999"/>
    <n v="2777.1008000000002"/>
    <n v="0"/>
    <n v="0"/>
    <n v="0"/>
    <n v="0"/>
    <n v="0"/>
    <n v="515.88677509185698"/>
    <n v="1460.23340061823"/>
    <n v="1217.360951489002"/>
    <n v="25.454684336426055"/>
    <n v="0"/>
    <n v="0"/>
    <n v="0"/>
    <n v="0"/>
    <n v="0"/>
    <m/>
    <n v="6.8006478377822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429573921657894"/>
    <n v="0"/>
    <n v="0"/>
    <n v="0"/>
    <n v="925.57"/>
    <n v="66"/>
    <m/>
    <m/>
    <m/>
    <m/>
    <m/>
    <m/>
    <m/>
    <m/>
    <m/>
    <n v="1229.7905254106599"/>
    <m/>
    <m/>
    <m/>
    <m/>
    <m/>
    <m/>
    <m/>
    <m/>
    <m/>
    <m/>
    <m/>
    <m/>
    <n v="2779.0240000000003"/>
    <n v="-459.20487999999932"/>
    <m/>
    <m/>
    <m/>
    <m/>
    <n v="-618.08975999999996"/>
    <n v="156.99168000000003"/>
    <n v="31"/>
    <n v="179.62058001640594"/>
    <n v="0"/>
    <n v="0"/>
    <n v="0"/>
    <n v="0"/>
    <n v="0"/>
    <n v="0"/>
    <n v="0"/>
    <n v="21.472333238749457"/>
    <n v="0"/>
    <n v="0"/>
    <n v="156.98870581721076"/>
    <n v="0"/>
    <n v="0"/>
    <n v="0"/>
    <n v="1.6028957733807285"/>
    <n v="0"/>
    <n v="0"/>
    <m/>
    <n v="0"/>
    <n v="0"/>
    <n v="0"/>
    <n v="0"/>
    <n v="0"/>
    <n v="-0.44335481293480505"/>
    <n v="0"/>
    <n v="0"/>
    <m/>
    <m/>
    <m/>
    <n v="1460.23340061823"/>
    <n v="0"/>
    <n v="0"/>
    <n v="-618.08975999999984"/>
    <n v="156.99168000000009"/>
    <n v="0"/>
    <n v="0"/>
    <n v="-640.70997706629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3"/>
    <s v="Refaturamento - 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-0.21"/>
    <n v="-0.21"/>
    <n v="-0.21"/>
    <n v="-0.21"/>
    <m/>
    <n v="345.46"/>
    <n v="215.17"/>
    <m/>
    <n v="-117.7323"/>
    <n v="-117.7323"/>
    <n v="-100.96799999999999"/>
    <n v="0"/>
    <n v="0"/>
    <n v="0"/>
    <n v="0"/>
    <n v="0"/>
    <n v="-18.756271255070978"/>
    <n v="-53.090203277324846"/>
    <n v="-44.260006892778812"/>
    <n v="-0.92546463134513013"/>
    <n v="0"/>
    <n v="0"/>
    <n v="0"/>
    <n v="0"/>
    <n v="0"/>
    <m/>
    <n v="-0.24725347055648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5190625407689716"/>
    <n v="0"/>
    <n v="0"/>
    <n v="0"/>
    <n v="-50.35"/>
    <n v="0"/>
    <m/>
    <m/>
    <m/>
    <m/>
    <m/>
    <m/>
    <m/>
    <m/>
    <m/>
    <n v="-44.711913146855707"/>
    <m/>
    <m/>
    <m/>
    <m/>
    <m/>
    <m/>
    <m/>
    <m/>
    <m/>
    <m/>
    <m/>
    <m/>
    <n v="-100.96799999999999"/>
    <n v="16.73429999999999"/>
    <m/>
    <m/>
    <m/>
    <m/>
    <n v="22.472099999999998"/>
    <n v="-5.7078000000000015"/>
    <n v="31"/>
    <n v="-6.5305266280203114"/>
    <n v="0"/>
    <n v="0"/>
    <n v="0"/>
    <n v="0"/>
    <n v="0"/>
    <n v="0"/>
    <n v="0"/>
    <n v="-0.78067693561935059"/>
    <n v="0"/>
    <n v="0"/>
    <n v="-5.7076918666229659"/>
    <n v="0"/>
    <n v="0"/>
    <n v="0"/>
    <n v="-5.8277027771806267E-2"/>
    <n v="0"/>
    <n v="0"/>
    <m/>
    <n v="0"/>
    <n v="0"/>
    <n v="0"/>
    <n v="0"/>
    <n v="0"/>
    <n v="1.6119201993820803E-2"/>
    <n v="0"/>
    <n v="0"/>
    <m/>
    <m/>
    <m/>
    <n v="-53.090203277324846"/>
    <n v="0"/>
    <n v="0"/>
    <n v="22.472100000000005"/>
    <n v="-5.7077999999999989"/>
    <n v="0"/>
    <n v="0"/>
    <n v="23.29451093904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4"/>
    <s v="Regular"/>
    <s v="Convencional"/>
    <s v="B3"/>
    <s v="Industrial"/>
    <s v="Não se aplica"/>
    <s v="Não se aplica"/>
    <s v="Não se aplica"/>
    <s v="Não se aplica"/>
    <s v="CATIVO"/>
    <x v="6"/>
    <n v="0"/>
    <n v="0"/>
    <n v="41.225999999999999"/>
    <n v="41.225999999999999"/>
    <n v="41.225999999999999"/>
    <n v="41.225999999999999"/>
    <m/>
    <n v="415.98"/>
    <n v="215.17"/>
    <m/>
    <n v="26019.7899"/>
    <n v="26019.7899"/>
    <n v="22614.11004"/>
    <n v="0"/>
    <n v="2518.3560930309613"/>
    <n v="0"/>
    <n v="0"/>
    <n v="0"/>
    <n v="3682.1239941026483"/>
    <n v="10422.365334814258"/>
    <n v="8688.8716388652356"/>
    <n v="181.68192805635397"/>
    <n v="0"/>
    <n v="0"/>
    <n v="0"/>
    <n v="0"/>
    <n v="389.15061552977335"/>
    <m/>
    <n v="48.5393884626747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71565347892458"/>
    <n v="0"/>
    <n v="0"/>
    <n v="0"/>
    <n v="9489.07"/>
    <n v="37"/>
    <m/>
    <m/>
    <m/>
    <m/>
    <m/>
    <m/>
    <m/>
    <m/>
    <m/>
    <n v="8777.5872923441602"/>
    <m/>
    <m/>
    <m/>
    <m/>
    <m/>
    <m/>
    <m/>
    <m/>
    <m/>
    <m/>
    <m/>
    <m/>
    <n v="22616.304199999999"/>
    <n v="-3403.5156999999963"/>
    <m/>
    <m/>
    <m/>
    <m/>
    <n v="-4526.2025400000011"/>
    <n v="1120.5226800000003"/>
    <n v="31"/>
    <n v="1167.2685831226954"/>
    <n v="0"/>
    <n v="0"/>
    <n v="0"/>
    <n v="0"/>
    <n v="0"/>
    <n v="0"/>
    <n v="0"/>
    <n v="153.25803498973028"/>
    <n v="0"/>
    <n v="0"/>
    <n v="1120.501451873326"/>
    <n v="0"/>
    <n v="0"/>
    <n v="0"/>
    <n v="11.44061308057374"/>
    <n v="0"/>
    <n v="-102.39383379251467"/>
    <m/>
    <n v="0"/>
    <n v="0"/>
    <n v="0"/>
    <n v="0"/>
    <n v="-12.373253402715079"/>
    <n v="-3.1644296257012243"/>
    <n v="0"/>
    <n v="0"/>
    <m/>
    <m/>
    <m/>
    <n v="10422.365334814258"/>
    <n v="0"/>
    <n v="0"/>
    <n v="-4526.202540000002"/>
    <n v="1120.5226800000019"/>
    <n v="0"/>
    <n v="0"/>
    <n v="-4573.0452760621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5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1.58"/>
    <n v="1.58"/>
    <n v="1.58"/>
    <n v="1.58"/>
    <m/>
    <n v="415.98"/>
    <n v="215.17"/>
    <m/>
    <n v="997.2170000000001"/>
    <n v="997.2170000000001"/>
    <n v="866.69320000000005"/>
    <n v="0"/>
    <n v="96.516824988815785"/>
    <n v="0"/>
    <n v="0"/>
    <n v="0"/>
    <n v="141.11861230005786"/>
    <n v="399.44057703892031"/>
    <n v="333.00386138376439"/>
    <n v="6.9630196072633606"/>
    <n v="0"/>
    <n v="0"/>
    <n v="0"/>
    <n v="0"/>
    <n v="14.914325244676707"/>
    <m/>
    <n v="1.8602880165678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000565782928458"/>
    <n v="0"/>
    <n v="0"/>
    <n v="0"/>
    <n v="1115.3599999999999"/>
    <n v="3"/>
    <m/>
    <m/>
    <m/>
    <m/>
    <m/>
    <m/>
    <m/>
    <m/>
    <m/>
    <n v="336.40391796205722"/>
    <m/>
    <m/>
    <m/>
    <m/>
    <m/>
    <m/>
    <m/>
    <m/>
    <m/>
    <m/>
    <m/>
    <m/>
    <n v="866.69320000000005"/>
    <n v="-130.55380000000002"/>
    <m/>
    <m/>
    <m/>
    <m/>
    <n v="-173.46820000000005"/>
    <n v="42.944400000000016"/>
    <n v="31"/>
    <n v="44.735952101437647"/>
    <n v="0"/>
    <n v="0"/>
    <n v="0"/>
    <n v="0"/>
    <n v="0"/>
    <n v="0"/>
    <n v="0"/>
    <n v="5.8736645632313014"/>
    <n v="0"/>
    <n v="0"/>
    <n v="42.943586425068077"/>
    <n v="0"/>
    <n v="0"/>
    <n v="0"/>
    <n v="0.43846525656882784"/>
    <n v="0"/>
    <n v="-3.924277334501852"/>
    <m/>
    <n v="0"/>
    <n v="0"/>
    <n v="0"/>
    <n v="0"/>
    <n v="-0.47420900345145789"/>
    <n v="-0.1212778054773187"/>
    <n v="0"/>
    <n v="0"/>
    <m/>
    <m/>
    <m/>
    <n v="399.44057703892031"/>
    <n v="0"/>
    <n v="0"/>
    <n v="-173.46820000000002"/>
    <n v="42.94440000000003"/>
    <n v="0"/>
    <n v="0"/>
    <n v="-175.26346325567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Ponta"/>
    <s v="CATIVO"/>
    <x v="6"/>
    <n v="0"/>
    <n v="0"/>
    <n v="138.72399999999999"/>
    <n v="138.72399999999999"/>
    <n v="138.72399999999999"/>
    <n v="138.72399999999999"/>
    <m/>
    <n v="2184.0300000000002"/>
    <n v="215.17"/>
    <m/>
    <n v="332826.62079999998"/>
    <n v="332826.62079999998"/>
    <n v="251144.54235999996"/>
    <n v="0"/>
    <n v="7372.5341935956721"/>
    <n v="0"/>
    <n v="0"/>
    <n v="0"/>
    <n v="91418.320577828461"/>
    <n v="202665.78642618156"/>
    <n v="29237.739029494511"/>
    <n v="611.35312151772291"/>
    <n v="0"/>
    <n v="0"/>
    <n v="0"/>
    <n v="0"/>
    <n v="1309.4777564826147"/>
    <m/>
    <n v="95.701892960358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25898512257724"/>
    <n v="0"/>
    <n v="0"/>
    <n v="0"/>
    <n v="0"/>
    <n v="0"/>
    <m/>
    <m/>
    <m/>
    <m/>
    <m/>
    <m/>
    <m/>
    <m/>
    <m/>
    <n v="29352.998014617089"/>
    <m/>
    <m/>
    <m/>
    <m/>
    <m/>
    <m/>
    <m/>
    <m/>
    <m/>
    <m/>
    <m/>
    <m/>
    <n v="251137.30079999997"/>
    <n v="-81689.350000000035"/>
    <m/>
    <m/>
    <m/>
    <m/>
    <n v="-85452.596760000029"/>
    <n v="3770.5183200000006"/>
    <n v="31"/>
    <n v="7242.7059633512981"/>
    <n v="0"/>
    <n v="0"/>
    <n v="0"/>
    <n v="0"/>
    <n v="0"/>
    <n v="0"/>
    <n v="0"/>
    <n v="3805.0299762470677"/>
    <n v="0"/>
    <n v="0"/>
    <n v="3770.4468881209723"/>
    <n v="0"/>
    <n v="0"/>
    <n v="0"/>
    <n v="14.863593978488595"/>
    <n v="0"/>
    <n v="-299.75984847324708"/>
    <m/>
    <n v="0"/>
    <n v="0"/>
    <n v="0"/>
    <n v="0"/>
    <n v="-41.635550503038075"/>
    <n v="-6.2390960189443234"/>
    <n v="0"/>
    <n v="0"/>
    <m/>
    <m/>
    <m/>
    <n v="202665.78642618156"/>
    <n v="0"/>
    <n v="0"/>
    <n v="-85452.596760000015"/>
    <n v="3770.5183199999992"/>
    <n v="0"/>
    <n v="0"/>
    <n v="-88924.134537853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7"/>
    <s v="Regular"/>
    <s v="Verde"/>
    <s v="A4"/>
    <s v="Industrial"/>
    <s v="Não se aplica"/>
    <s v="Não se aplica"/>
    <s v="Não se aplica"/>
    <s v="Fora ponta"/>
    <s v="CATIVO"/>
    <x v="6"/>
    <n v="0"/>
    <n v="0"/>
    <n v="2710.4949999999999"/>
    <n v="2710.4949999999999"/>
    <n v="2710.4949999999999"/>
    <n v="2710.4949999999999"/>
    <m/>
    <n v="64.11"/>
    <n v="215.17"/>
    <m/>
    <n v="756987.04359999986"/>
    <n v="756987.04359999986"/>
    <n v="824153.10969999991"/>
    <n v="0"/>
    <n v="144050.17927013425"/>
    <n v="0"/>
    <n v="0"/>
    <n v="0"/>
    <n v="0"/>
    <n v="0"/>
    <n v="571269.17801353568"/>
    <n v="11945.082171132468"/>
    <n v="0"/>
    <n v="0"/>
    <n v="0"/>
    <n v="0"/>
    <n v="25585.572154474674"/>
    <m/>
    <n v="1869.896357945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2.0176961435659"/>
    <n v="0"/>
    <n v="0"/>
    <n v="0"/>
    <n v="0"/>
    <n v="0"/>
    <m/>
    <m/>
    <m/>
    <m/>
    <m/>
    <m/>
    <m/>
    <m/>
    <m/>
    <n v="573521.19570967928"/>
    <m/>
    <m/>
    <m/>
    <m/>
    <m/>
    <m/>
    <m/>
    <m/>
    <m/>
    <m/>
    <m/>
    <m/>
    <n v="824154.62999999989"/>
    <n v="67167.556400000001"/>
    <m/>
    <m/>
    <m/>
    <m/>
    <n v="-6505.1879999999956"/>
    <n v="73671.25410000002"/>
    <n v="31"/>
    <n v="67167.927501125028"/>
    <n v="0"/>
    <n v="0"/>
    <n v="0"/>
    <n v="0"/>
    <n v="0"/>
    <n v="0"/>
    <n v="0"/>
    <n v="0"/>
    <n v="0"/>
    <n v="0"/>
    <n v="73669.858409629669"/>
    <n v="0"/>
    <n v="0"/>
    <n v="0"/>
    <n v="290.41620167183373"/>
    <n v="0"/>
    <n v="-5856.9358617650578"/>
    <m/>
    <n v="0"/>
    <n v="0"/>
    <n v="0"/>
    <n v="0"/>
    <n v="-813.5070460823772"/>
    <n v="-121.90420232885799"/>
    <n v="0"/>
    <n v="0"/>
    <m/>
    <m/>
    <m/>
    <n v="0"/>
    <n v="0"/>
    <n v="0"/>
    <n v="-6505.1879999999946"/>
    <n v="73671.254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38"/>
    <s v="Regular"/>
    <s v="Verde"/>
    <s v="A4"/>
    <s v="Industrial"/>
    <s v="Não se aplica"/>
    <s v="Não se aplica"/>
    <s v="Não se aplica"/>
    <s v="Não se aplica"/>
    <s v="CATIVO"/>
    <x v="6"/>
    <n v="6418"/>
    <n v="6418"/>
    <n v="0"/>
    <n v="0"/>
    <n v="0"/>
    <n v="0"/>
    <n v="28.04"/>
    <m/>
    <m/>
    <n v="179960.72"/>
    <m/>
    <n v="179960.72"/>
    <n v="135163.07999999999"/>
    <n v="0"/>
    <n v="0"/>
    <n v="0"/>
    <n v="0"/>
    <n v="0"/>
    <n v="71051.607517928598"/>
    <n v="108941.056760038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7328.11"/>
    <n v="15"/>
    <m/>
    <m/>
    <m/>
    <m/>
    <m/>
    <m/>
    <m/>
    <m/>
    <m/>
    <n v="0"/>
    <m/>
    <m/>
    <m/>
    <m/>
    <m/>
    <m/>
    <m/>
    <m/>
    <m/>
    <m/>
    <m/>
    <m/>
    <n v="135163.07999999999"/>
    <n v="-44797.670000000042"/>
    <m/>
    <m/>
    <m/>
    <m/>
    <n v="-44797.64"/>
    <n v="0"/>
    <n v="31"/>
    <n v="2957.3229387436149"/>
    <n v="0"/>
    <n v="0"/>
    <n v="0"/>
    <n v="0"/>
    <m/>
    <m/>
    <m/>
    <n v="2957.32293874361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8941.05676003812"/>
    <m/>
    <n v="0"/>
    <n v="0"/>
    <n v="-44797.640000000014"/>
    <m/>
    <n v="0"/>
    <m/>
    <n v="-47800.318735861532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239"/>
    <s v="Regular"/>
    <s v="Convencional"/>
    <s v="B3"/>
    <s v="Comercial"/>
    <s v="Não se aplica"/>
    <s v="Não se aplica"/>
    <s v="Não se aplica"/>
    <s v="Não se aplica"/>
    <s v="CATIVO"/>
    <x v="6"/>
    <n v="0"/>
    <n v="0"/>
    <n v="210.20400000000001"/>
    <n v="210.20400000000001"/>
    <n v="210.20400000000001"/>
    <n v="210.20400000000001"/>
    <m/>
    <n v="415.98"/>
    <n v="215.17"/>
    <m/>
    <n v="132670.25460000001"/>
    <n v="132670.25460000001"/>
    <n v="115305.30216000001"/>
    <n v="0"/>
    <n v="12840.647265790527"/>
    <n v="0"/>
    <n v="0"/>
    <n v="0"/>
    <n v="18774.49163286162"/>
    <n v="53141.776617651391"/>
    <n v="44303.002328046088"/>
    <n v="926.36365412986538"/>
    <n v="0"/>
    <n v="0"/>
    <n v="0"/>
    <n v="0"/>
    <n v="1984.2093821088749"/>
    <m/>
    <n v="247.49365964216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.34524872371475"/>
    <n v="0"/>
    <n v="0"/>
    <n v="0"/>
    <n v="47809.49"/>
    <n v="447"/>
    <m/>
    <m/>
    <m/>
    <m/>
    <m/>
    <m/>
    <m/>
    <m/>
    <m/>
    <n v="44755.347576769804"/>
    <m/>
    <m/>
    <m/>
    <m/>
    <m/>
    <m/>
    <m/>
    <m/>
    <m/>
    <m/>
    <m/>
    <m/>
    <n v="115303.10799999999"/>
    <n v="-17367.176600000021"/>
    <m/>
    <m/>
    <m/>
    <m/>
    <n v="-23078.297160000006"/>
    <n v="5713.3447200000019"/>
    <n v="31"/>
    <n v="5951.6937186902505"/>
    <n v="0"/>
    <n v="0"/>
    <n v="0"/>
    <n v="0"/>
    <n v="0"/>
    <n v="0"/>
    <n v="0"/>
    <n v="781.43530749966885"/>
    <n v="0"/>
    <n v="0"/>
    <n v="5713.2364815791152"/>
    <n v="0"/>
    <n v="0"/>
    <n v="0"/>
    <n v="58.333639741641719"/>
    <n v="0"/>
    <n v="-522.08784355799253"/>
    <m/>
    <n v="0"/>
    <n v="0"/>
    <n v="0"/>
    <n v="0"/>
    <n v="-63.089005925006404"/>
    <n v="-16.13486064718623"/>
    <n v="0"/>
    <n v="0"/>
    <m/>
    <m/>
    <m/>
    <n v="53141.776617651391"/>
    <n v="0"/>
    <n v="0"/>
    <n v="-23078.297160000002"/>
    <n v="5713.344720000001"/>
    <n v="0"/>
    <n v="0"/>
    <n v="-23317.13989252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0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3.919"/>
    <n v="3.919"/>
    <n v="3.919"/>
    <n v="3.919"/>
    <m/>
    <n v="415.98"/>
    <n v="215.17"/>
    <m/>
    <n v="2473.47685"/>
    <n v="2473.47685"/>
    <n v="2149.7282599999999"/>
    <n v="0"/>
    <n v="239.39837793111965"/>
    <n v="0"/>
    <n v="0"/>
    <n v="0"/>
    <n v="350.02774785058654"/>
    <n v="990.76431735160043"/>
    <n v="825.97603339428656"/>
    <n v="17.270932810674118"/>
    <n v="0"/>
    <n v="0"/>
    <n v="0"/>
    <n v="0"/>
    <n v="36.993190274612665"/>
    <m/>
    <n v="4.6142207195755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334314748921901"/>
    <n v="0"/>
    <n v="0"/>
    <n v="0"/>
    <n v="1568.48"/>
    <n v="7"/>
    <m/>
    <m/>
    <m/>
    <m/>
    <m/>
    <m/>
    <m/>
    <m/>
    <m/>
    <n v="834.40946486917881"/>
    <m/>
    <m/>
    <m/>
    <m/>
    <m/>
    <m/>
    <m/>
    <m/>
    <m/>
    <m/>
    <m/>
    <m/>
    <n v="2150.2767999999996"/>
    <n v="-323.23005000000057"/>
    <m/>
    <m/>
    <m/>
    <m/>
    <n v="-430.26701000000008"/>
    <n v="106.51842000000003"/>
    <n v="31"/>
    <n v="110.96214954780612"/>
    <n v="0"/>
    <n v="0"/>
    <n v="0"/>
    <n v="0"/>
    <n v="0"/>
    <n v="0"/>
    <n v="0"/>
    <n v="14.568918622343972"/>
    <n v="0"/>
    <n v="0"/>
    <n v="106.51640202521617"/>
    <n v="0"/>
    <n v="0"/>
    <n v="0"/>
    <n v="1.0875603420843269"/>
    <n v="0"/>
    <n v="-9.7336980214637947"/>
    <m/>
    <n v="0"/>
    <n v="0"/>
    <n v="0"/>
    <n v="0"/>
    <n v="-1.1762184079280118"/>
    <n v="-0.30081501244658959"/>
    <n v="0"/>
    <n v="0"/>
    <m/>
    <m/>
    <m/>
    <n v="990.76431735160043"/>
    <n v="0"/>
    <n v="0"/>
    <n v="-430.26701000000025"/>
    <n v="106.51841999999999"/>
    <n v="0"/>
    <n v="0"/>
    <n v="-434.7199446196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1"/>
    <s v="Regular"/>
    <s v="Verde"/>
    <s v="A4"/>
    <s v="Comercial"/>
    <s v="Não se aplica"/>
    <s v="Não se aplica"/>
    <s v="Não se aplica"/>
    <s v="Ponta"/>
    <s v="CATIVO"/>
    <x v="6"/>
    <n v="0"/>
    <n v="0"/>
    <n v="2.8220000000000001"/>
    <n v="2.8220000000000001"/>
    <n v="2.8220000000000001"/>
    <n v="2.8220000000000001"/>
    <m/>
    <n v="2184.0300000000002"/>
    <n v="215.17"/>
    <m/>
    <n v="6770.5424000000012"/>
    <n v="6770.5424000000012"/>
    <n v="5108.92058"/>
    <n v="0"/>
    <n v="149.97615044496257"/>
    <n v="0"/>
    <n v="0"/>
    <n v="0"/>
    <n v="1859.6818190841668"/>
    <n v="4122.7390306989737"/>
    <n v="594.77018786391341"/>
    <n v="12.436481855504558"/>
    <n v="0"/>
    <n v="0"/>
    <n v="0"/>
    <n v="0"/>
    <n v="26.638117620555484"/>
    <m/>
    <n v="1.946820607350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446617457391152"/>
    <n v="0"/>
    <n v="0"/>
    <n v="0"/>
    <n v="0"/>
    <n v="0"/>
    <m/>
    <m/>
    <m/>
    <m/>
    <m/>
    <m/>
    <m/>
    <m/>
    <m/>
    <n v="597.11484960965254"/>
    <m/>
    <m/>
    <m/>
    <m/>
    <m/>
    <m/>
    <m/>
    <m/>
    <m/>
    <m/>
    <m/>
    <m/>
    <n v="5105.2997999999998"/>
    <n v="-1665.2726000000021"/>
    <m/>
    <m/>
    <m/>
    <m/>
    <n v="-1738.3237800000006"/>
    <n v="76.701960000000014"/>
    <n v="31"/>
    <n v="147.33511309201958"/>
    <n v="0"/>
    <n v="0"/>
    <n v="0"/>
    <n v="0"/>
    <n v="0"/>
    <n v="0"/>
    <n v="0"/>
    <n v="77.404015116124128"/>
    <n v="0"/>
    <n v="0"/>
    <n v="76.700506893380975"/>
    <n v="0"/>
    <n v="0"/>
    <n v="0"/>
    <n v="0.30236341373731168"/>
    <n v="0"/>
    <n v="-6.0978799082458863"/>
    <m/>
    <n v="0"/>
    <n v="0"/>
    <n v="0"/>
    <n v="0"/>
    <n v="-0.84697329603798366"/>
    <n v="-0.1269191269388199"/>
    <n v="0"/>
    <n v="0"/>
    <m/>
    <m/>
    <m/>
    <n v="4122.7390306989737"/>
    <n v="0"/>
    <n v="0"/>
    <n v="-1738.3237800000006"/>
    <n v="76.701959999999985"/>
    <n v="0"/>
    <n v="0"/>
    <n v="-1808.9437131701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Fora ponta"/>
    <s v="CATIVO"/>
    <x v="6"/>
    <n v="0"/>
    <n v="0"/>
    <n v="31.95"/>
    <n v="31.95"/>
    <n v="31.95"/>
    <n v="31.95"/>
    <m/>
    <n v="64.11"/>
    <n v="215.17"/>
    <m/>
    <n v="8922.9959999999992"/>
    <n v="8922.9959999999992"/>
    <n v="9714.7169999999987"/>
    <n v="0"/>
    <n v="1697.9936239250724"/>
    <n v="0"/>
    <n v="0"/>
    <n v="0"/>
    <n v="0"/>
    <n v="0"/>
    <n v="6733.8439058299191"/>
    <n v="140.80283319750907"/>
    <n v="0"/>
    <n v="0"/>
    <n v="0"/>
    <n v="0"/>
    <n v="301.59031111862072"/>
    <m/>
    <n v="22.041431043535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54569198312003"/>
    <n v="0"/>
    <n v="0"/>
    <n v="0"/>
    <n v="0"/>
    <n v="0"/>
    <m/>
    <m/>
    <m/>
    <m/>
    <m/>
    <m/>
    <m/>
    <m/>
    <m/>
    <n v="6760.3895978130395"/>
    <m/>
    <m/>
    <m/>
    <m/>
    <m/>
    <m/>
    <m/>
    <m/>
    <m/>
    <m/>
    <m/>
    <m/>
    <n v="9714.7169999999987"/>
    <n v="791.69099999999889"/>
    <m/>
    <m/>
    <m/>
    <m/>
    <n v="-76.67999999999995"/>
    <n v="868.40100000000018"/>
    <n v="31"/>
    <n v="791.7429412933634"/>
    <n v="0"/>
    <n v="0"/>
    <n v="0"/>
    <n v="0"/>
    <n v="0"/>
    <n v="0"/>
    <n v="0"/>
    <n v="0"/>
    <n v="0"/>
    <n v="0"/>
    <n v="868.38454827906571"/>
    <n v="0"/>
    <n v="0"/>
    <n v="0"/>
    <n v="3.423285283099613"/>
    <n v="0"/>
    <n v="-69.038718309162505"/>
    <m/>
    <n v="0"/>
    <n v="0"/>
    <n v="0"/>
    <n v="0"/>
    <n v="-9.5892263672620857"/>
    <n v="-1.4369475923796244"/>
    <n v="0"/>
    <n v="0"/>
    <m/>
    <m/>
    <m/>
    <n v="0"/>
    <n v="0"/>
    <n v="0"/>
    <n v="-76.680000000000064"/>
    <n v="868.40099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Não se aplica"/>
    <s v="CATIVO"/>
    <x v="6"/>
    <n v="110"/>
    <n v="110"/>
    <n v="0"/>
    <n v="0"/>
    <n v="0"/>
    <n v="0"/>
    <n v="28.04"/>
    <m/>
    <m/>
    <n v="3084.4"/>
    <m/>
    <n v="3084.4"/>
    <n v="2316.6"/>
    <n v="0"/>
    <n v="0"/>
    <n v="0"/>
    <n v="0"/>
    <n v="0"/>
    <n v="1217.7745133954729"/>
    <n v="1867.17298903150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09.99"/>
    <n v="1"/>
    <m/>
    <m/>
    <m/>
    <m/>
    <m/>
    <m/>
    <m/>
    <m/>
    <m/>
    <n v="0"/>
    <m/>
    <m/>
    <m/>
    <m/>
    <m/>
    <m/>
    <m/>
    <m/>
    <m/>
    <m/>
    <m/>
    <m/>
    <n v="2316.6"/>
    <n v="-767.83000000000084"/>
    <m/>
    <m/>
    <m/>
    <m/>
    <n v="-767.80000000000007"/>
    <n v="0"/>
    <n v="31"/>
    <n v="50.686432418478944"/>
    <n v="0"/>
    <n v="0"/>
    <n v="0"/>
    <n v="0"/>
    <m/>
    <m/>
    <m/>
    <n v="50.6864324184789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67.1729890315041"/>
    <m/>
    <n v="0"/>
    <n v="0"/>
    <n v="-767.80000000000018"/>
    <m/>
    <n v="0"/>
    <m/>
    <n v="-819.26379883838717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244"/>
    <s v="Regular"/>
    <s v="Branca"/>
    <s v="B3"/>
    <s v="Comercial"/>
    <s v="Não se aplica"/>
    <s v="Não se aplica"/>
    <s v="Não se aplica"/>
    <s v="Ponta"/>
    <s v="CATIVO"/>
    <x v="6"/>
    <n v="0"/>
    <n v="0"/>
    <n v="7.4999999999999997E-2"/>
    <n v="7.4999999999999997E-2"/>
    <n v="7.4999999999999997E-2"/>
    <n v="7.4999999999999997E-2"/>
    <m/>
    <n v="1254.27"/>
    <n v="215.17"/>
    <m/>
    <n v="110.208"/>
    <n v="110.208"/>
    <n v="84.312749999999994"/>
    <n v="0"/>
    <n v="4.5814948570640404"/>
    <n v="0"/>
    <n v="0"/>
    <n v="0"/>
    <n v="23.116184877172351"/>
    <n v="65.414695527430268"/>
    <n v="15.807145318849575"/>
    <n v="0.33052308262326074"/>
    <n v="0"/>
    <n v="0"/>
    <n v="0"/>
    <n v="0"/>
    <n v="0.70795847680427404"/>
    <m/>
    <n v="8.83048109130307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139509074174899"/>
    <n v="0"/>
    <n v="0"/>
    <n v="0"/>
    <n v="0"/>
    <n v="0"/>
    <m/>
    <m/>
    <m/>
    <m/>
    <m/>
    <m/>
    <m/>
    <m/>
    <m/>
    <n v="15.968540409591323"/>
    <m/>
    <m/>
    <m/>
    <m/>
    <m/>
    <m/>
    <m/>
    <m/>
    <m/>
    <m/>
    <m/>
    <m/>
    <n v="89.933600000000013"/>
    <n v="-20.304400000000001"/>
    <m/>
    <m/>
    <m/>
    <m/>
    <n v="-27.933749999999993"/>
    <n v="2.0385000000000004"/>
    <n v="31"/>
    <n v="2.8068748926950278"/>
    <n v="0"/>
    <n v="0"/>
    <n v="0"/>
    <n v="0"/>
    <n v="0"/>
    <n v="0"/>
    <n v="0"/>
    <n v="0.96214605385612373"/>
    <n v="0"/>
    <n v="0"/>
    <n v="2.0384613809367735"/>
    <n v="0"/>
    <n v="0"/>
    <n v="0"/>
    <n v="2.0813224204216524E-2"/>
    <n v="0"/>
    <n v="-0.18627898739724014"/>
    <m/>
    <n v="0"/>
    <n v="0"/>
    <n v="0"/>
    <n v="0"/>
    <n v="-2.2509921049911008E-2"/>
    <n v="-5.7568578549360011E-3"/>
    <n v="0"/>
    <n v="0"/>
    <m/>
    <m/>
    <m/>
    <n v="65.414695527430268"/>
    <n v="0"/>
    <n v="0"/>
    <n v="-27.933750000000003"/>
    <n v="2.0385000000000026"/>
    <n v="0"/>
    <n v="0"/>
    <n v="-28.70215682878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Fora ponta"/>
    <s v="CATIVO"/>
    <x v="6"/>
    <n v="0"/>
    <n v="0"/>
    <n v="0.97199999999999998"/>
    <n v="0.97199999999999998"/>
    <n v="0.97199999999999998"/>
    <n v="0.97199999999999998"/>
    <m/>
    <n v="309.91000000000003"/>
    <n v="215.17"/>
    <m/>
    <n v="510.37775999999997"/>
    <n v="510.37775999999997"/>
    <n v="462.38040000000001"/>
    <n v="0"/>
    <n v="59.376173347549958"/>
    <n v="0"/>
    <n v="0"/>
    <n v="0"/>
    <n v="59.891403633573589"/>
    <n v="169.55505155280417"/>
    <n v="204.86060333229051"/>
    <n v="4.2835791507974594"/>
    <n v="0"/>
    <n v="0"/>
    <n v="0"/>
    <n v="0"/>
    <n v="9.1751418593833911"/>
    <m/>
    <n v="1.1444303494328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916803760130667"/>
    <n v="0"/>
    <n v="0"/>
    <n v="0"/>
    <n v="0"/>
    <n v="0"/>
    <m/>
    <m/>
    <m/>
    <m/>
    <m/>
    <m/>
    <m/>
    <m/>
    <m/>
    <n v="206.95228370830358"/>
    <m/>
    <m/>
    <m/>
    <m/>
    <m/>
    <m/>
    <m/>
    <m/>
    <m/>
    <m/>
    <m/>
    <m/>
    <n v="461.42899999999997"/>
    <n v="-48.978759999999966"/>
    <m/>
    <m/>
    <m/>
    <m/>
    <n v="-74.416320000000027"/>
    <n v="26.418960000000006"/>
    <n v="31"/>
    <n v="26.400496652983747"/>
    <n v="0"/>
    <n v="0"/>
    <n v="0"/>
    <n v="0"/>
    <n v="0"/>
    <n v="0"/>
    <n v="0"/>
    <n v="2.4928109016315929"/>
    <n v="0"/>
    <n v="0"/>
    <n v="26.418459496940585"/>
    <n v="0"/>
    <n v="0"/>
    <n v="0"/>
    <n v="0.26973938568664613"/>
    <n v="0"/>
    <n v="-2.4141756766682292"/>
    <m/>
    <n v="0"/>
    <n v="0"/>
    <n v="0"/>
    <n v="0"/>
    <n v="-0.29172857680684672"/>
    <n v="-7.4608877799970719E-2"/>
    <n v="0"/>
    <n v="0"/>
    <m/>
    <m/>
    <m/>
    <n v="169.55505155280417"/>
    <n v="0"/>
    <n v="0"/>
    <n v="-74.416320000000042"/>
    <n v="26.418960000000027"/>
    <n v="0"/>
    <n v="0"/>
    <n v="-74.396061030982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8.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Intermediário"/>
    <s v="CATIVO"/>
    <x v="6"/>
    <n v="0"/>
    <n v="0"/>
    <n v="5.1999999999999998E-2"/>
    <n v="5.1999999999999998E-2"/>
    <n v="5.1999999999999998E-2"/>
    <n v="5.1999999999999998E-2"/>
    <m/>
    <n v="782.07"/>
    <n v="215.17"/>
    <m/>
    <n v="51.856479999999998"/>
    <n v="51.856479999999998"/>
    <n v="41.595320000000001"/>
    <n v="0"/>
    <n v="3.1765031008977345"/>
    <n v="0"/>
    <n v="0"/>
    <n v="0"/>
    <n v="9.6144963196870119"/>
    <n v="27.212509039628795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39.9955"/>
    <n v="-11.890979999999992"/>
    <m/>
    <m/>
    <m/>
    <m/>
    <n v="-11.674520000000005"/>
    <n v="1.4133600000000004"/>
    <n v="31"/>
    <n v="1.6791883104818162"/>
    <n v="0"/>
    <n v="0"/>
    <n v="0"/>
    <n v="0"/>
    <n v="0"/>
    <n v="0"/>
    <n v="0"/>
    <n v="0.40017631555350874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27.212509039628795"/>
    <n v="0"/>
    <n v="0"/>
    <n v="-11.674520000000001"/>
    <n v="1.4133600000000008"/>
    <n v="0"/>
    <n v="0"/>
    <n v="-11.94009535415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8"/>
    <s v="Regular"/>
    <s v="Convencional"/>
    <s v="B2"/>
    <s v="Rural"/>
    <s v="Não se aplica"/>
    <s v="Não se aplica"/>
    <s v="Não se aplica"/>
    <s v="Não se aplica"/>
    <s v="CATIVO"/>
    <x v="6"/>
    <n v="0"/>
    <n v="0"/>
    <n v="463.68700000000001"/>
    <n v="463.68700000000001"/>
    <n v="463.68700000000001"/>
    <n v="463.68700000000001"/>
    <m/>
    <n v="415.98"/>
    <n v="215.17"/>
    <m/>
    <n v="292656.05005000002"/>
    <n v="292656.05005000002"/>
    <n v="254350.86697999999"/>
    <n v="0"/>
    <n v="28325.061410499384"/>
    <n v="0"/>
    <n v="0"/>
    <n v="0"/>
    <n v="41414.472140238562"/>
    <n v="117224.93850977585"/>
    <n v="97727.57055281871"/>
    <n v="2043.4567548310922"/>
    <n v="0"/>
    <n v="0"/>
    <n v="0"/>
    <n v="0"/>
    <n v="4376.9485631192456"/>
    <m/>
    <n v="545.94390477107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7.82407254359157"/>
    <n v="0"/>
    <n v="0"/>
    <n v="0"/>
    <n v="63216.800000000003"/>
    <n v="1623"/>
    <m/>
    <m/>
    <m/>
    <m/>
    <m/>
    <n v="30519.878339999999"/>
    <m/>
    <m/>
    <m/>
    <n v="98725.3946253623"/>
    <m/>
    <m/>
    <m/>
    <m/>
    <m/>
    <m/>
    <m/>
    <m/>
    <m/>
    <m/>
    <m/>
    <m/>
    <n v="223832.4368"/>
    <n v="-33703.989870000019"/>
    <m/>
    <m/>
    <m/>
    <m/>
    <n v="-50908.195730000014"/>
    <n v="12603.012660000004"/>
    <n v="31"/>
    <n v="13128.78444434132"/>
    <n v="0"/>
    <n v="0"/>
    <n v="0"/>
    <n v="0"/>
    <n v="0"/>
    <n v="0"/>
    <n v="0"/>
    <n v="1723.7606964120423"/>
    <n v="0"/>
    <n v="0"/>
    <n v="12602.773897899067"/>
    <n v="0"/>
    <n v="0"/>
    <n v="0"/>
    <n v="128.67761988774066"/>
    <n v="0"/>
    <n v="-1151.6685977235211"/>
    <m/>
    <n v="0"/>
    <n v="0"/>
    <n v="0"/>
    <n v="0"/>
    <n v="-139.16743682493416"/>
    <n v="-35.591735309089529"/>
    <n v="0"/>
    <n v="0"/>
    <m/>
    <m/>
    <m/>
    <n v="117224.93850977585"/>
    <n v="0"/>
    <n v="0"/>
    <n v="-50908.195730000007"/>
    <n v="12603.012660000008"/>
    <n v="0"/>
    <n v="0"/>
    <n v="-51435.05663710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49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0.53400000000000003"/>
    <n v="-0.53400000000000003"/>
    <n v="-0.53400000000000003"/>
    <n v="-0.53400000000000003"/>
    <m/>
    <n v="415.98"/>
    <n v="215.17"/>
    <m/>
    <n v="-337.03410000000002"/>
    <n v="-337.03410000000002"/>
    <n v="-292.92036000000002"/>
    <n v="0"/>
    <n v="-32.620243382295968"/>
    <n v="0"/>
    <n v="0"/>
    <n v="0"/>
    <n v="-47.694518334323348"/>
    <n v="-135.00080261948318"/>
    <n v="-112.54687467020899"/>
    <n v="-2.3533243482776167"/>
    <n v="0"/>
    <n v="0"/>
    <n v="0"/>
    <n v="0"/>
    <n v="-5.0406643548464309"/>
    <m/>
    <n v="-0.62873025370077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149133046081253"/>
    <n v="0"/>
    <n v="0"/>
    <n v="0"/>
    <n v="-50.28"/>
    <n v="0"/>
    <m/>
    <m/>
    <m/>
    <m/>
    <m/>
    <n v="-35.147880000000001"/>
    <m/>
    <m/>
    <m/>
    <n v="-113.69600771629024"/>
    <m/>
    <m/>
    <m/>
    <m/>
    <m/>
    <m/>
    <m/>
    <m/>
    <m/>
    <m/>
    <m/>
    <m/>
    <n v="-255.84160000000003"/>
    <n v="40.717339999999979"/>
    <m/>
    <m/>
    <m/>
    <m/>
    <n v="58.627860000000013"/>
    <n v="-14.514120000000004"/>
    <n v="31"/>
    <n v="-15.119619254536474"/>
    <n v="0"/>
    <n v="0"/>
    <n v="0"/>
    <n v="0"/>
    <n v="0"/>
    <n v="0"/>
    <n v="0"/>
    <n v="-1.9851499220034938"/>
    <n v="0"/>
    <n v="0"/>
    <n v="-14.513845032269828"/>
    <n v="0"/>
    <n v="0"/>
    <n v="0"/>
    <n v="-0.14819015633402155"/>
    <n v="0"/>
    <n v="1.3263063902683498"/>
    <m/>
    <n v="0"/>
    <n v="0"/>
    <n v="0"/>
    <n v="0"/>
    <n v="0.16027063787536555"/>
    <n v="4.0988827927144311E-2"/>
    <n v="0"/>
    <n v="0"/>
    <m/>
    <m/>
    <m/>
    <n v="-135.00080261948318"/>
    <n v="0"/>
    <n v="0"/>
    <n v="58.627860000000027"/>
    <n v="-14.51412000000002"/>
    <n v="0"/>
    <n v="0"/>
    <n v="59.234613530713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0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2.7160000000000002"/>
    <n v="2.7160000000000002"/>
    <n v="2.7160000000000002"/>
    <n v="2.7160000000000002"/>
    <m/>
    <n v="415.98"/>
    <n v="215.17"/>
    <m/>
    <n v="1714.2033999999999"/>
    <n v="1714.2033999999999"/>
    <n v="1489.83464"/>
    <n v="0"/>
    <n v="165.91120042381246"/>
    <n v="0"/>
    <n v="0"/>
    <n v="0"/>
    <n v="242.58110823225135"/>
    <n v="686.63329572006808"/>
    <n v="572.42942247993938"/>
    <n v="11.969342565397017"/>
    <n v="0"/>
    <n v="0"/>
    <n v="0"/>
    <n v="0"/>
    <n v="25.637536306672111"/>
    <m/>
    <n v="3.1978115525305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46542193945374"/>
    <n v="0"/>
    <n v="0"/>
    <n v="0"/>
    <n v="2745.74"/>
    <n v="19"/>
    <m/>
    <m/>
    <m/>
    <m/>
    <m/>
    <n v="178.76711999999998"/>
    <m/>
    <m/>
    <m/>
    <n v="578.27407669933393"/>
    <m/>
    <m/>
    <m/>
    <m/>
    <m/>
    <m/>
    <m/>
    <m/>
    <m/>
    <m/>
    <m/>
    <m/>
    <n v="1312.9983999999999"/>
    <n v="-195.52516000000014"/>
    <m/>
    <m/>
    <m/>
    <m/>
    <n v="-298.18964000000005"/>
    <n v="73.820880000000017"/>
    <n v="31"/>
    <n v="76.900535384496152"/>
    <n v="0"/>
    <n v="0"/>
    <n v="0"/>
    <n v="0"/>
    <n v="0"/>
    <n v="0"/>
    <n v="0"/>
    <n v="10.096755034010272"/>
    <n v="0"/>
    <n v="0"/>
    <n v="73.819481474990312"/>
    <n v="0"/>
    <n v="0"/>
    <n v="0"/>
    <n v="0.75371622584869424"/>
    <n v="0"/>
    <n v="-6.7457830636120661"/>
    <m/>
    <n v="0"/>
    <n v="0"/>
    <n v="0"/>
    <n v="0"/>
    <n v="-0.81515927428744206"/>
    <n v="-0.20847501245341604"/>
    <n v="0"/>
    <n v="0"/>
    <m/>
    <m/>
    <m/>
    <n v="686.63329572006808"/>
    <n v="0"/>
    <n v="0"/>
    <n v="-298.18963999999994"/>
    <n v="73.820880000000102"/>
    <n v="0"/>
    <n v="0"/>
    <n v="-301.27567481164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1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44.542000000000002"/>
    <n v="44.542000000000002"/>
    <n v="44.542000000000002"/>
    <n v="44.542000000000002"/>
    <m/>
    <n v="415.98"/>
    <n v="215.17"/>
    <m/>
    <n v="28112.683300000001"/>
    <n v="28112.683300000001"/>
    <n v="24433.06868"/>
    <n v="0"/>
    <n v="2720.9192523112865"/>
    <n v="0"/>
    <n v="0"/>
    <n v="0"/>
    <n v="3978.29444877796"/>
    <n v="11260.684925612397"/>
    <n v="9387.7582238959712"/>
    <n v="196.29545528273709"/>
    <n v="0"/>
    <n v="0"/>
    <n v="0"/>
    <n v="0"/>
    <n v="420.45181965087966"/>
    <m/>
    <n v="52.443638502509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851468424253113"/>
    <n v="0"/>
    <n v="0"/>
    <n v="0"/>
    <n v="8420.5499999999993"/>
    <n v="49"/>
    <m/>
    <m/>
    <m/>
    <m/>
    <m/>
    <m/>
    <m/>
    <m/>
    <m/>
    <n v="9483.609692320224"/>
    <m/>
    <m/>
    <m/>
    <m/>
    <m/>
    <m/>
    <m/>
    <m/>
    <m/>
    <m/>
    <m/>
    <m/>
    <n v="24431.971600000001"/>
    <n v="-3680.741699999995"/>
    <m/>
    <m/>
    <m/>
    <m/>
    <n v="-4890.2661800000014"/>
    <n v="1210.6515600000002"/>
    <n v="31"/>
    <n v="1261.1574547482451"/>
    <n v="0"/>
    <n v="0"/>
    <n v="0"/>
    <n v="0"/>
    <n v="0"/>
    <n v="0"/>
    <n v="0"/>
    <n v="165.58529555408177"/>
    <n v="0"/>
    <n v="0"/>
    <n v="1210.6286243958111"/>
    <n v="0"/>
    <n v="0"/>
    <n v="0"/>
    <n v="12.360835100056164"/>
    <n v="0"/>
    <n v="-110.62984875530492"/>
    <m/>
    <n v="0"/>
    <n v="0"/>
    <n v="0"/>
    <n v="0"/>
    <n v="-13.368492045401808"/>
    <n v="-3.4189595009941272"/>
    <n v="0"/>
    <n v="0"/>
    <m/>
    <m/>
    <m/>
    <n v="11260.684925612397"/>
    <n v="0"/>
    <n v="0"/>
    <n v="-4890.2661800000005"/>
    <n v="1210.6515600000002"/>
    <n v="0"/>
    <n v="0"/>
    <n v="-4940.8766964139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2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92.998999999999995"/>
    <n v="92.998999999999995"/>
    <n v="92.998999999999995"/>
    <n v="92.998999999999995"/>
    <m/>
    <n v="228.79"/>
    <n v="118.34"/>
    <m/>
    <n v="32282.742869999995"/>
    <n v="32282.742869999995"/>
    <n v="28056.868309999998"/>
    <n v="0"/>
    <n v="3124.5458948887181"/>
    <n v="0"/>
    <n v="0"/>
    <n v="0"/>
    <n v="4568.4426607032919"/>
    <n v="12931.117609635086"/>
    <n v="10780.357188389688"/>
    <n v="225.41431851312501"/>
    <n v="0"/>
    <n v="0"/>
    <n v="0"/>
    <n v="0"/>
    <n v="482.82248948501865"/>
    <m/>
    <n v="60.223233474073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07026832187347"/>
    <n v="0"/>
    <n v="0"/>
    <n v="0"/>
    <n v="13753.48"/>
    <n v="88"/>
    <m/>
    <m/>
    <m/>
    <m/>
    <m/>
    <m/>
    <m/>
    <m/>
    <m/>
    <n v="10890.427456711561"/>
    <m/>
    <m/>
    <m/>
    <m/>
    <m/>
    <m/>
    <m/>
    <m/>
    <m/>
    <m/>
    <m/>
    <m/>
    <n v="28057.17"/>
    <n v="-4225.6028699999915"/>
    <m/>
    <m/>
    <m/>
    <m/>
    <n v="-5616.2096099999981"/>
    <n v="1390.3350499999988"/>
    <n v="31"/>
    <n v="1448.2400919082102"/>
    <n v="0"/>
    <n v="0"/>
    <n v="0"/>
    <n v="0"/>
    <n v="0"/>
    <n v="0"/>
    <n v="0"/>
    <n v="190.14855183149575"/>
    <n v="0"/>
    <n v="0"/>
    <n v="1390.2157130821452"/>
    <n v="0"/>
    <n v="0"/>
    <n v="0"/>
    <n v="14.19446627696567"/>
    <n v="0"/>
    <n v="-127.04090335900491"/>
    <m/>
    <n v="0"/>
    <n v="0"/>
    <n v="0"/>
    <n v="0"/>
    <n v="-15.351601083285516"/>
    <n v="-3.9261348401089364"/>
    <n v="0"/>
    <n v="0"/>
    <m/>
    <m/>
    <m/>
    <n v="12931.117609635086"/>
    <n v="0"/>
    <n v="0"/>
    <n v="-5616.2096099999962"/>
    <n v="1390.3350499999979"/>
    <n v="0"/>
    <n v="0"/>
    <n v="-5673.8162978625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3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7.375"/>
    <n v="16.3325"/>
    <n v="17.375"/>
    <n v="16.3325"/>
    <m/>
    <n v="415.98"/>
    <n v="215.17"/>
    <m/>
    <n v="10966.231250000001"/>
    <n v="10966.231250000001"/>
    <n v="9530.8824999999997"/>
    <n v="0"/>
    <n v="1061.3796418865027"/>
    <n v="0"/>
    <n v="0"/>
    <n v="0"/>
    <n v="1551.8581574136108"/>
    <n v="4392.5822949691392"/>
    <n v="3661.9886655334849"/>
    <n v="76.571180807722072"/>
    <n v="0"/>
    <n v="0"/>
    <n v="0"/>
    <n v="0"/>
    <n v="164.0103804596568"/>
    <m/>
    <n v="20.4572811948521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389862688505183"/>
    <n v="0"/>
    <n v="0"/>
    <n v="0"/>
    <n v="3999.35"/>
    <n v="4"/>
    <m/>
    <m/>
    <m/>
    <m/>
    <n v="571.85295000000019"/>
    <m/>
    <m/>
    <m/>
    <m/>
    <n v="3699.3785282219901"/>
    <m/>
    <m/>
    <m/>
    <m/>
    <m/>
    <m/>
    <m/>
    <m/>
    <m/>
    <m/>
    <m/>
    <m/>
    <n v="8957.658199999998"/>
    <n v="-1350.6291750000019"/>
    <m/>
    <m/>
    <m/>
    <m/>
    <n v="-1907.6012500000004"/>
    <n v="472.25250000000011"/>
    <n v="31"/>
    <n v="491.95390364713967"/>
    <n v="0"/>
    <n v="0"/>
    <n v="0"/>
    <n v="0"/>
    <n v="0"/>
    <n v="0"/>
    <n v="0"/>
    <n v="64.591722649458234"/>
    <n v="0"/>
    <n v="0"/>
    <n v="472.24355325035322"/>
    <n v="0"/>
    <n v="0"/>
    <n v="0"/>
    <n v="4.8217302739768257"/>
    <n v="0"/>
    <n v="-43.15463208036067"/>
    <m/>
    <n v="0"/>
    <n v="0"/>
    <n v="0"/>
    <n v="0"/>
    <n v="-5.2147983765626975"/>
    <n v="-1.3336720697268447"/>
    <n v="0"/>
    <n v="0"/>
    <m/>
    <m/>
    <m/>
    <n v="4392.5822949691392"/>
    <n v="0"/>
    <n v="0"/>
    <n v="-1907.6012500000006"/>
    <n v="472.25250000000051"/>
    <n v="0"/>
    <n v="0"/>
    <n v="-1927.343464599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4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2.657"/>
    <n v="2.657"/>
    <n v="2.657"/>
    <n v="2.657"/>
    <m/>
    <n v="415.98"/>
    <n v="215.17"/>
    <m/>
    <n v="1676.9655500000001"/>
    <n v="1676.9655500000001"/>
    <n v="1457.4707800000001"/>
    <n v="0"/>
    <n v="162.30709113625539"/>
    <n v="0"/>
    <n v="0"/>
    <n v="0"/>
    <n v="237.31148916535045"/>
    <n v="671.71747670405773"/>
    <n v="559.99446816244426"/>
    <n v="11.709331073733384"/>
    <n v="0"/>
    <n v="0"/>
    <n v="0"/>
    <n v="0"/>
    <n v="25.080608971586081"/>
    <m/>
    <n v="3.1283451012789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7176900813443607"/>
    <n v="0"/>
    <n v="0"/>
    <n v="0"/>
    <n v="611.58000000000004"/>
    <n v="1"/>
    <m/>
    <m/>
    <m/>
    <m/>
    <m/>
    <m/>
    <m/>
    <m/>
    <m/>
    <n v="565.71215824378862"/>
    <m/>
    <m/>
    <m/>
    <m/>
    <m/>
    <m/>
    <m/>
    <m/>
    <m/>
    <m/>
    <m/>
    <m/>
    <n v="1459.1164000000001"/>
    <n v="-217.87914999999998"/>
    <m/>
    <m/>
    <m/>
    <m/>
    <n v="-291.71203000000008"/>
    <n v="72.217260000000024"/>
    <n v="31"/>
    <n v="75.230015654126078"/>
    <n v="0"/>
    <n v="0"/>
    <n v="0"/>
    <n v="0"/>
    <n v="0"/>
    <n v="0"/>
    <n v="0"/>
    <n v="9.8774219901933975"/>
    <n v="0"/>
    <n v="0"/>
    <n v="72.215891855320137"/>
    <n v="0"/>
    <n v="0"/>
    <n v="0"/>
    <n v="0.73734315614137724"/>
    <n v="0"/>
    <n v="-6.5992435935262108"/>
    <m/>
    <n v="0"/>
    <n v="0"/>
    <n v="0"/>
    <n v="0"/>
    <n v="-0.79745146972818048"/>
    <n v="-0.20394628427419992"/>
    <n v="0"/>
    <n v="0"/>
    <m/>
    <m/>
    <m/>
    <n v="671.71747670405773"/>
    <n v="0"/>
    <n v="0"/>
    <n v="-291.71203000000014"/>
    <n v="72.21726000000001"/>
    <n v="0"/>
    <n v="0"/>
    <n v="-294.7310265002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5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6"/>
    <n v="1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56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9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57"/>
    <s v="Regular"/>
    <s v="Convencional"/>
    <s v="B2"/>
    <s v="Rural"/>
    <s v="Agropecuária rural"/>
    <s v="IRRIG./AQUIC."/>
    <s v="Não se aplica"/>
    <s v="Não se aplica"/>
    <s v="CATIVO"/>
    <x v="6"/>
    <n v="0"/>
    <n v="0"/>
    <n v="2.0369999999999999"/>
    <n v="2.0369999999999999"/>
    <n v="2.0369999999999999"/>
    <n v="2.0369999999999999"/>
    <m/>
    <n v="415.98"/>
    <n v="215.17"/>
    <m/>
    <n v="1285.65255"/>
    <n v="1285.65255"/>
    <n v="1117.37598"/>
    <n v="0"/>
    <n v="124.43340031785932"/>
    <n v="0"/>
    <n v="0"/>
    <n v="0"/>
    <n v="181.93583117418848"/>
    <n v="514.97497179005097"/>
    <n v="429.32206685995448"/>
    <n v="8.9770069240477621"/>
    <n v="0"/>
    <n v="0"/>
    <n v="0"/>
    <n v="0"/>
    <n v="19.228152230004081"/>
    <m/>
    <n v="2.39835866439791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834906645459029"/>
    <n v="0"/>
    <n v="0"/>
    <n v="0"/>
    <n v="0"/>
    <n v="0"/>
    <m/>
    <m/>
    <m/>
    <m/>
    <m/>
    <n v="134.07533999999998"/>
    <m/>
    <m/>
    <m/>
    <n v="433.70555752450036"/>
    <m/>
    <m/>
    <m/>
    <m/>
    <m/>
    <m/>
    <m/>
    <m/>
    <m/>
    <m/>
    <m/>
    <m/>
    <n v="984.74880000000007"/>
    <n v="-146.65136999999982"/>
    <m/>
    <m/>
    <m/>
    <m/>
    <n v="-223.64223000000004"/>
    <n v="55.365660000000013"/>
    <n v="31"/>
    <n v="57.675401538372398"/>
    <n v="0"/>
    <n v="0"/>
    <n v="0"/>
    <n v="0"/>
    <n v="0"/>
    <n v="0"/>
    <n v="0"/>
    <n v="7.572566275507711"/>
    <n v="0"/>
    <n v="0"/>
    <n v="55.364611106242762"/>
    <n v="0"/>
    <n v="0"/>
    <n v="0"/>
    <n v="0.56528716938652046"/>
    <n v="0"/>
    <n v="-5.0593372977090354"/>
    <m/>
    <n v="0"/>
    <n v="0"/>
    <n v="0"/>
    <n v="0"/>
    <n v="-0.61136945571558243"/>
    <n v="-0.15635625934006159"/>
    <n v="0"/>
    <n v="0"/>
    <m/>
    <m/>
    <m/>
    <n v="514.97497179005097"/>
    <n v="0"/>
    <n v="0"/>
    <n v="-223.64223000000004"/>
    <n v="55.365660000000048"/>
    <n v="0"/>
    <n v="0"/>
    <n v="-225.95675610873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8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05"/>
    <n v="0.05"/>
    <n v="0.05"/>
    <n v="0.05"/>
    <m/>
    <n v="415.98"/>
    <n v="215.17"/>
    <m/>
    <n v="31.557500000000005"/>
    <n v="31.557500000000005"/>
    <n v="27.427"/>
    <n v="0"/>
    <n v="3.0543299047093604"/>
    <n v="0"/>
    <n v="0"/>
    <n v="0"/>
    <n v="4.4657788702549954"/>
    <n v="12.64052458983925"/>
    <n v="10.538096879233052"/>
    <n v="0.22034872174884051"/>
    <n v="0"/>
    <n v="0"/>
    <n v="0"/>
    <n v="0"/>
    <n v="0.47197231786951604"/>
    <m/>
    <n v="5.88698739420205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7596727161166"/>
    <n v="0"/>
    <n v="0"/>
    <n v="0"/>
    <n v="0"/>
    <n v="0"/>
    <m/>
    <m/>
    <m/>
    <m/>
    <m/>
    <n v="3.2909999999999999"/>
    <m/>
    <m/>
    <m/>
    <n v="10.645693606394218"/>
    <m/>
    <m/>
    <m/>
    <m/>
    <m/>
    <m/>
    <m/>
    <m/>
    <m/>
    <m/>
    <m/>
    <m/>
    <n v="24.136000000000003"/>
    <n v="-3.6645000000000003"/>
    <m/>
    <m/>
    <m/>
    <m/>
    <n v="-5.4895000000000014"/>
    <n v="1.3590000000000004"/>
    <n v="31"/>
    <n v="1.4156946867543532"/>
    <n v="0"/>
    <n v="0"/>
    <n v="0"/>
    <n v="0"/>
    <n v="0"/>
    <n v="0"/>
    <n v="0"/>
    <n v="0.18587546086174989"/>
    <n v="0"/>
    <n v="0"/>
    <n v="1.3589742539578484"/>
    <n v="0"/>
    <n v="0"/>
    <n v="0"/>
    <n v="1.3875482802811007E-2"/>
    <n v="0"/>
    <n v="-0.12418599159816024"/>
    <m/>
    <n v="0"/>
    <n v="0"/>
    <n v="0"/>
    <n v="0"/>
    <n v="-1.5006614033274024E-2"/>
    <n v="-3.8379052366240077E-3"/>
    <n v="0"/>
    <n v="0"/>
    <m/>
    <m/>
    <m/>
    <n v="12.64052458983925"/>
    <n v="0"/>
    <n v="0"/>
    <n v="-5.4895000000000032"/>
    <n v="1.359"/>
    <n v="0"/>
    <n v="0"/>
    <n v="-5.546312128343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0.79600000000000004"/>
    <n v="0.31840000000000002"/>
    <n v="0.79600000000000004"/>
    <n v="0.31840000000000002"/>
    <m/>
    <n v="415.98"/>
    <n v="215.17"/>
    <m/>
    <n v="502.3954"/>
    <n v="502.3954"/>
    <n v="436.63784000000004"/>
    <n v="0"/>
    <n v="48.624932082973018"/>
    <n v="0"/>
    <n v="0"/>
    <n v="0"/>
    <n v="71.095199614459531"/>
    <n v="201.23715147024086"/>
    <n v="167.76650231739018"/>
    <n v="3.5079516502415409"/>
    <n v="0"/>
    <n v="0"/>
    <n v="0"/>
    <n v="0"/>
    <n v="7.5137993004826953"/>
    <m/>
    <n v="0.93720839315696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29398964057627"/>
    <n v="0"/>
    <n v="0"/>
    <n v="0"/>
    <n v="0"/>
    <n v="0"/>
    <m/>
    <m/>
    <m/>
    <m/>
    <m/>
    <m/>
    <n v="282.93979200000001"/>
    <m/>
    <m/>
    <n v="169.47944221379595"/>
    <m/>
    <m/>
    <m/>
    <m/>
    <m/>
    <m/>
    <m/>
    <m/>
    <m/>
    <m/>
    <m/>
    <m/>
    <n v="154.47040000000001"/>
    <n v="-22.402143999999993"/>
    <m/>
    <m/>
    <m/>
    <m/>
    <n v="-87.392840000000021"/>
    <n v="21.635280000000005"/>
    <n v="31"/>
    <n v="22.537859413129297"/>
    <n v="0"/>
    <n v="0"/>
    <n v="0"/>
    <n v="0"/>
    <n v="0"/>
    <n v="0"/>
    <n v="0"/>
    <n v="2.9591373369190563"/>
    <n v="0"/>
    <n v="0"/>
    <n v="21.634870123008966"/>
    <n v="0"/>
    <n v="0"/>
    <n v="0"/>
    <n v="0.22089768622075123"/>
    <n v="0"/>
    <n v="-1.9770409862427059"/>
    <m/>
    <n v="0"/>
    <n v="0"/>
    <n v="0"/>
    <n v="0"/>
    <n v="-0.2389052954097215"/>
    <n v="-6.1099451367054192E-2"/>
    <n v="0"/>
    <n v="0"/>
    <m/>
    <m/>
    <m/>
    <n v="201.23715147024086"/>
    <n v="0"/>
    <n v="0"/>
    <n v="-87.392840000000007"/>
    <n v="21.635280000000023"/>
    <n v="0"/>
    <n v="0"/>
    <n v="-88.297289083236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22.9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62"/>
    <s v="Regular"/>
    <s v="Convencional"/>
    <s v="B2"/>
    <s v="Rural"/>
    <s v="Aquicultura"/>
    <s v="IRRIG./AQUIC."/>
    <s v="Não se aplica"/>
    <s v="Não se aplica"/>
    <s v="CATIVO"/>
    <x v="6"/>
    <n v="0"/>
    <n v="0"/>
    <n v="1.085"/>
    <n v="1.085"/>
    <n v="1.085"/>
    <n v="1.085"/>
    <m/>
    <n v="415.98"/>
    <n v="215.17"/>
    <m/>
    <n v="684.79774999999995"/>
    <n v="684.79774999999995"/>
    <n v="595.16589999999997"/>
    <n v="0"/>
    <n v="66.278958932193106"/>
    <n v="0"/>
    <n v="0"/>
    <n v="0"/>
    <n v="96.907401484533395"/>
    <n v="274.29938359951171"/>
    <n v="228.67670227935719"/>
    <n v="4.7815672619498386"/>
    <n v="0"/>
    <n v="0"/>
    <n v="0"/>
    <n v="0"/>
    <n v="10.241799297768496"/>
    <m/>
    <n v="1.2774762645418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4848979397302"/>
    <n v="0"/>
    <n v="0"/>
    <n v="0"/>
    <n v="0"/>
    <n v="0"/>
    <m/>
    <m/>
    <m/>
    <m/>
    <m/>
    <n v="71.414699999999996"/>
    <m/>
    <m/>
    <m/>
    <n v="231.01155125875448"/>
    <m/>
    <m/>
    <m/>
    <m/>
    <m/>
    <m/>
    <m/>
    <m/>
    <m/>
    <m/>
    <m/>
    <m/>
    <n v="526.16480000000001"/>
    <n v="-76.485050000000001"/>
    <m/>
    <m/>
    <m/>
    <m/>
    <n v="-119.12215000000002"/>
    <n v="29.490300000000005"/>
    <n v="31"/>
    <n v="30.720574702569365"/>
    <n v="0"/>
    <n v="0"/>
    <n v="0"/>
    <n v="0"/>
    <n v="0"/>
    <n v="0"/>
    <n v="0"/>
    <n v="4.0334975006999798"/>
    <n v="0"/>
    <n v="0"/>
    <n v="29.489741310885336"/>
    <n v="0"/>
    <n v="0"/>
    <n v="0"/>
    <n v="0.30109797682099915"/>
    <n v="0"/>
    <n v="-2.6948360176800676"/>
    <m/>
    <n v="0"/>
    <n v="0"/>
    <n v="0"/>
    <n v="0"/>
    <n v="-0.32564352452204481"/>
    <n v="-8.328254363474108E-2"/>
    <n v="0"/>
    <n v="0"/>
    <m/>
    <m/>
    <m/>
    <n v="274.29938359951171"/>
    <n v="0"/>
    <n v="0"/>
    <n v="-119.12215000000003"/>
    <n v="29.490300000000019"/>
    <n v="0"/>
    <n v="0"/>
    <n v="-120.3549731850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3"/>
    <s v="Regular"/>
    <s v="Convencional"/>
    <s v="B2"/>
    <s v="Rural"/>
    <s v="Aquicultura"/>
    <s v="IRRIG./AQUIC. PR"/>
    <s v="Não se aplica"/>
    <s v="Não se aplica"/>
    <s v="CATIVO"/>
    <x v="6"/>
    <n v="0"/>
    <n v="0"/>
    <n v="2.3809999999999998"/>
    <n v="0.95240000000000002"/>
    <n v="2.3809999999999998"/>
    <n v="0.95240000000000002"/>
    <m/>
    <n v="415.98"/>
    <n v="215.17"/>
    <m/>
    <n v="1502.7681499999999"/>
    <n v="1502.7681499999999"/>
    <n v="1306.0737399999998"/>
    <n v="0"/>
    <n v="145.44719006225972"/>
    <n v="0"/>
    <n v="0"/>
    <n v="0"/>
    <n v="212.66038980154283"/>
    <n v="601.94178096814505"/>
    <n v="501.82417338907783"/>
    <n v="10.493006129679785"/>
    <n v="0"/>
    <n v="0"/>
    <n v="0"/>
    <n v="0"/>
    <n v="22.475321776946352"/>
    <m/>
    <n v="2.8033833971190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237561474147242"/>
    <n v="0"/>
    <n v="0"/>
    <n v="0"/>
    <n v="0"/>
    <n v="0"/>
    <m/>
    <m/>
    <m/>
    <m/>
    <m/>
    <m/>
    <n v="846.33121199999982"/>
    <m/>
    <m/>
    <n v="506.94792953649255"/>
    <m/>
    <m/>
    <m/>
    <m/>
    <m/>
    <m/>
    <m/>
    <m/>
    <m/>
    <m/>
    <m/>
    <m/>
    <n v="458.58399999999995"/>
    <n v="-70.418484000000035"/>
    <m/>
    <m/>
    <m/>
    <m/>
    <n v="-261.40999000000005"/>
    <n v="64.715580000000017"/>
    <n v="31"/>
    <n v="67.415380983242471"/>
    <n v="0"/>
    <n v="0"/>
    <n v="0"/>
    <n v="0"/>
    <n v="0"/>
    <n v="0"/>
    <n v="0"/>
    <n v="8.851389446236567"/>
    <n v="0"/>
    <n v="0"/>
    <n v="64.714353973472839"/>
    <n v="0"/>
    <n v="0"/>
    <n v="0"/>
    <n v="0.6607504910698605"/>
    <n v="0"/>
    <n v="-5.9137369199043803"/>
    <m/>
    <n v="0"/>
    <n v="0"/>
    <n v="0"/>
    <n v="0"/>
    <n v="-0.71461496026450888"/>
    <n v="-0.18276104736803545"/>
    <n v="0"/>
    <n v="0"/>
    <m/>
    <m/>
    <m/>
    <n v="601.94178096814505"/>
    <n v="0"/>
    <n v="0"/>
    <n v="-261.40998999999999"/>
    <n v="64.715579999999932"/>
    <n v="0"/>
    <n v="0"/>
    <n v="-264.11538355174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4"/>
    <s v="Regular"/>
    <s v="Convencional"/>
    <s v="B1"/>
    <s v="Residencial"/>
    <s v="Residencial"/>
    <s v="Não se aplica"/>
    <s v="Não se aplica"/>
    <s v="Não se aplica"/>
    <s v="CATIVO"/>
    <x v="7"/>
    <n v="0"/>
    <n v="0"/>
    <n v="474.12099999999998"/>
    <n v="474.12099999999998"/>
    <n v="474.12099999999998"/>
    <n v="474.12099999999998"/>
    <m/>
    <n v="415.98"/>
    <n v="215.17"/>
    <m/>
    <n v="299241.46915000002"/>
    <n v="299241.46915000002"/>
    <n v="260074.33333999995"/>
    <n v="0"/>
    <n v="28962.438975014131"/>
    <n v="0"/>
    <n v="0"/>
    <n v="0"/>
    <n v="42346.390874883371"/>
    <n v="119862.76318118349"/>
    <n v="99926.660609577055"/>
    <n v="2089.4391260856401"/>
    <n v="0"/>
    <n v="0"/>
    <n v="0"/>
    <n v="0"/>
    <n v="4475.4397464122558"/>
    <m/>
    <n v="558.22887006529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0.2773575675836"/>
    <n v="0"/>
    <n v="0"/>
    <n v="0"/>
    <n v="62937.279999999999"/>
    <n v="2814"/>
    <m/>
    <m/>
    <m/>
    <m/>
    <m/>
    <m/>
    <m/>
    <m/>
    <m/>
    <n v="100946.93796714464"/>
    <m/>
    <m/>
    <m/>
    <m/>
    <m/>
    <m/>
    <m/>
    <m/>
    <m/>
    <m/>
    <m/>
    <m/>
    <n v="260073.78480000002"/>
    <n v="-39167.714350000024"/>
    <m/>
    <m/>
    <m/>
    <m/>
    <n v="-52053.744590000009"/>
    <n v="12886.608780000002"/>
    <n v="30"/>
    <n v="13424.211611573235"/>
    <n v="0"/>
    <n v="0"/>
    <n v="0"/>
    <n v="0"/>
    <n v="0"/>
    <n v="0"/>
    <n v="0"/>
    <n v="1762.5491875846783"/>
    <n v="0"/>
    <n v="0"/>
    <n v="12886.364645214999"/>
    <n v="0"/>
    <n v="0"/>
    <n v="0"/>
    <n v="131.57315563903114"/>
    <n v="0"/>
    <n v="-1177.5837304502238"/>
    <m/>
    <n v="0"/>
    <n v="0"/>
    <n v="0"/>
    <n v="0"/>
    <n v="-142.29901704139775"/>
    <n v="-36.392629373868203"/>
    <n v="0"/>
    <n v="0"/>
    <m/>
    <m/>
    <m/>
    <n v="119862.76318118349"/>
    <n v="0"/>
    <n v="0"/>
    <n v="-52053.744590000017"/>
    <n v="12886.608779999995"/>
    <n v="0"/>
    <n v="0"/>
    <n v="-52592.461052051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76"/>
    <n v="-0.76"/>
    <n v="-0.76"/>
    <n v="-0.76"/>
    <m/>
    <n v="415.98"/>
    <n v="215.17"/>
    <m/>
    <n v="-479.67400000000004"/>
    <n v="-479.67400000000004"/>
    <n v="-416.8904"/>
    <n v="0"/>
    <n v="-46.425814551582278"/>
    <n v="0"/>
    <n v="0"/>
    <n v="0"/>
    <n v="-67.879838827875929"/>
    <n v="-192.1359737655566"/>
    <n v="-160.17907256434236"/>
    <n v="-3.3493005705823755"/>
    <n v="0"/>
    <n v="0"/>
    <n v="0"/>
    <n v="0"/>
    <n v="-7.1739792316166433"/>
    <m/>
    <n v="-0.894822083918711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6354702528497231"/>
    <n v="0"/>
    <n v="0"/>
    <n v="0"/>
    <n v="-108.12"/>
    <n v="0"/>
    <m/>
    <m/>
    <m/>
    <m/>
    <m/>
    <m/>
    <m/>
    <m/>
    <m/>
    <n v="-161.81454281719209"/>
    <m/>
    <m/>
    <m/>
    <m/>
    <m/>
    <m/>
    <m/>
    <m/>
    <m/>
    <m/>
    <m/>
    <m/>
    <n v="-416.8904"/>
    <n v="62.753600000000063"/>
    <m/>
    <m/>
    <m/>
    <m/>
    <n v="83.440400000000011"/>
    <n v="-20.656800000000004"/>
    <n v="30"/>
    <n v="-21.518559238666114"/>
    <n v="0"/>
    <n v="0"/>
    <n v="0"/>
    <n v="0"/>
    <n v="0"/>
    <n v="0"/>
    <n v="0"/>
    <n v="-2.825307005098594"/>
    <n v="0"/>
    <n v="0"/>
    <n v="-20.656408660159315"/>
    <n v="0"/>
    <n v="0"/>
    <n v="0"/>
    <n v="-0.21090733860272737"/>
    <n v="0"/>
    <n v="1.8876270722920339"/>
    <m/>
    <n v="0"/>
    <n v="0"/>
    <n v="0"/>
    <n v="0"/>
    <n v="0.22810053330576441"/>
    <n v="5.8336159596684922E-2"/>
    <n v="0"/>
    <n v="0"/>
    <m/>
    <m/>
    <m/>
    <n v="-192.1359737655566"/>
    <n v="0"/>
    <n v="0"/>
    <n v="83.440400000000039"/>
    <n v="-20.656800000000004"/>
    <n v="0"/>
    <n v="0"/>
    <n v="84.303944350828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2.738"/>
    <n v="2.738"/>
    <n v="2.738"/>
    <n v="2.738"/>
    <m/>
    <n v="415.98"/>
    <n v="215.17"/>
    <m/>
    <n v="1728.0887"/>
    <n v="1728.0887"/>
    <n v="1501.9025200000001"/>
    <n v="0"/>
    <n v="167.25510558188455"/>
    <n v="0"/>
    <n v="0"/>
    <n v="0"/>
    <n v="244.54605093516352"/>
    <n v="692.19512653959725"/>
    <n v="577.06618510680187"/>
    <n v="12.066296002966507"/>
    <n v="0"/>
    <n v="0"/>
    <n v="0"/>
    <n v="0"/>
    <n v="25.845204126534696"/>
    <m/>
    <n v="3.2237142970650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919967793454502"/>
    <n v="0"/>
    <n v="0"/>
    <n v="0"/>
    <n v="774.37"/>
    <n v="19"/>
    <m/>
    <m/>
    <m/>
    <m/>
    <m/>
    <m/>
    <m/>
    <m/>
    <m/>
    <n v="582.95818188614737"/>
    <m/>
    <m/>
    <m/>
    <m/>
    <m/>
    <m/>
    <m/>
    <m/>
    <m/>
    <m/>
    <m/>
    <m/>
    <n v="1502.9996000000001"/>
    <n v="-225.11909999999989"/>
    <m/>
    <m/>
    <m/>
    <m/>
    <n v="-300.60502000000008"/>
    <n v="74.418840000000017"/>
    <n v="30"/>
    <n v="77.52344104666804"/>
    <n v="0"/>
    <n v="0"/>
    <n v="0"/>
    <n v="0"/>
    <n v="0"/>
    <n v="0"/>
    <n v="0"/>
    <n v="10.178540236789445"/>
    <n v="0"/>
    <n v="0"/>
    <n v="74.417430146731817"/>
    <n v="0"/>
    <n v="0"/>
    <n v="0"/>
    <n v="0.75982143828193038"/>
    <n v="0"/>
    <n v="-6.8004248999152423"/>
    <m/>
    <n v="0"/>
    <n v="0"/>
    <n v="0"/>
    <n v="0"/>
    <n v="-0.82176218446208438"/>
    <n v="-0.21016369075753039"/>
    <n v="0"/>
    <n v="0"/>
    <m/>
    <m/>
    <m/>
    <n v="692.19512653959725"/>
    <n v="0"/>
    <n v="0"/>
    <n v="-300.60502000000008"/>
    <n v="74.418840000000046"/>
    <n v="0"/>
    <n v="0"/>
    <n v="-303.71605214811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7.5"/>
    <n v="7.5"/>
    <n v="7.5"/>
    <n v="7.5"/>
    <m/>
    <n v="345.46"/>
    <n v="215.17"/>
    <m/>
    <n v="4204.7249999999995"/>
    <n v="4204.7249999999995"/>
    <n v="3606"/>
    <n v="0"/>
    <n v="0"/>
    <n v="0"/>
    <n v="0"/>
    <n v="0"/>
    <n v="669.86683053824925"/>
    <n v="1896.0786884758875"/>
    <n v="1580.7145318849575"/>
    <n v="33.052308262326079"/>
    <n v="0"/>
    <n v="0"/>
    <n v="0"/>
    <n v="0"/>
    <n v="0"/>
    <m/>
    <n v="8.8304810913030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139509074174899"/>
    <n v="0"/>
    <n v="0"/>
    <n v="0"/>
    <n v="170"/>
    <n v="11"/>
    <m/>
    <m/>
    <m/>
    <m/>
    <m/>
    <m/>
    <m/>
    <n v="2343.9"/>
    <m/>
    <n v="1596.8540409591324"/>
    <m/>
    <m/>
    <m/>
    <m/>
    <m/>
    <m/>
    <m/>
    <m/>
    <m/>
    <m/>
    <m/>
    <m/>
    <n v="1262.0999999999999"/>
    <n v="-209.58000000000015"/>
    <m/>
    <m/>
    <m/>
    <m/>
    <n v="-802.57499999999993"/>
    <n v="203.85000000000005"/>
    <n v="30"/>
    <n v="233.23309385786797"/>
    <n v="0"/>
    <n v="0"/>
    <n v="0"/>
    <n v="0"/>
    <n v="0"/>
    <n v="0"/>
    <n v="0"/>
    <n v="27.881319129262579"/>
    <n v="0"/>
    <n v="0"/>
    <n v="203.84613809367738"/>
    <n v="0"/>
    <n v="0"/>
    <n v="0"/>
    <n v="2.0813224204216532"/>
    <n v="0"/>
    <n v="0"/>
    <m/>
    <n v="0"/>
    <n v="0"/>
    <n v="0"/>
    <n v="0"/>
    <n v="0"/>
    <n v="-0.57568578549360083"/>
    <n v="0"/>
    <n v="0"/>
    <m/>
    <m/>
    <m/>
    <n v="1896.0786884758875"/>
    <n v="0"/>
    <n v="0"/>
    <n v="-802.57499999999982"/>
    <n v="203.85000000000014"/>
    <n v="0"/>
    <n v="0"/>
    <n v="-831.9468192515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5.435"/>
    <n v="15.435"/>
    <n v="15.435"/>
    <n v="15.435"/>
    <m/>
    <n v="345.46"/>
    <n v="215.17"/>
    <m/>
    <n v="8653.3240499999993"/>
    <n v="8653.3240499999993"/>
    <n v="7421.1480000000001"/>
    <n v="0"/>
    <n v="0"/>
    <n v="0"/>
    <n v="0"/>
    <n v="0"/>
    <n v="1378.5859372477171"/>
    <n v="3902.1299408833765"/>
    <n v="3253.1105066192426"/>
    <n v="68.021650403867071"/>
    <n v="0"/>
    <n v="0"/>
    <n v="0"/>
    <n v="0"/>
    <n v="0"/>
    <m/>
    <n v="18.173130085901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215109674651941"/>
    <n v="0"/>
    <n v="0"/>
    <n v="0"/>
    <n v="606.5"/>
    <n v="48"/>
    <m/>
    <m/>
    <m/>
    <m/>
    <m/>
    <m/>
    <m/>
    <n v="2968.4592000000002"/>
    <m/>
    <n v="3286.3256162938947"/>
    <m/>
    <m/>
    <m/>
    <m/>
    <m/>
    <m/>
    <m/>
    <m/>
    <m/>
    <m/>
    <m/>
    <m/>
    <n v="4454.1311999999998"/>
    <n v="-737.7697500000013"/>
    <m/>
    <m/>
    <m/>
    <m/>
    <n v="-1651.6993499999999"/>
    <n v="419.52330000000012"/>
    <n v="30"/>
    <n v="479.99370715949226"/>
    <n v="0"/>
    <n v="0"/>
    <n v="0"/>
    <n v="0"/>
    <n v="0"/>
    <n v="0"/>
    <n v="0"/>
    <n v="57.379754768022167"/>
    <n v="0"/>
    <n v="0"/>
    <n v="419.51535219678817"/>
    <n v="0"/>
    <n v="0"/>
    <n v="0"/>
    <n v="4.2833615412277624"/>
    <n v="0"/>
    <n v="0"/>
    <m/>
    <n v="0"/>
    <n v="0"/>
    <n v="0"/>
    <n v="0"/>
    <n v="0"/>
    <n v="-1.1847613465458302"/>
    <n v="0"/>
    <n v="0"/>
    <m/>
    <m/>
    <m/>
    <n v="3902.1299408833765"/>
    <n v="0"/>
    <n v="0"/>
    <n v="-1651.6993499999994"/>
    <n v="419.52330000000029"/>
    <n v="0"/>
    <n v="0"/>
    <n v="-1712.1465540197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4.488"/>
    <n v="14.488"/>
    <n v="14.488"/>
    <n v="14.488"/>
    <m/>
    <n v="345.46"/>
    <n v="215.17"/>
    <m/>
    <n v="8122.407439999999"/>
    <n v="8122.407439999999"/>
    <n v="6965.8303999999998"/>
    <n v="0"/>
    <n v="0"/>
    <n v="0"/>
    <n v="0"/>
    <n v="0"/>
    <n v="1294.0040854450874"/>
    <n v="3662.7184051518207"/>
    <n v="3053.5189517265685"/>
    <n v="63.848245613944023"/>
    <n v="0"/>
    <n v="0"/>
    <n v="0"/>
    <n v="0"/>
    <n v="0"/>
    <m/>
    <n v="17.058134673439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177227662219458"/>
    <n v="0"/>
    <n v="0"/>
    <n v="0"/>
    <n v="1390.33"/>
    <n v="134"/>
    <m/>
    <m/>
    <m/>
    <m/>
    <m/>
    <m/>
    <m/>
    <n v="696.72791999999959"/>
    <m/>
    <n v="3084.6961793887881"/>
    <m/>
    <m/>
    <m/>
    <m/>
    <m/>
    <m/>
    <m/>
    <m/>
    <m/>
    <m/>
    <m/>
    <m/>
    <n v="6269.9679000000006"/>
    <n v="-1040.1273800000008"/>
    <m/>
    <m/>
    <m/>
    <m/>
    <n v="-1550.3608799999997"/>
    <n v="393.78384000000011"/>
    <n v="30"/>
    <n v="450.54414184170491"/>
    <n v="0"/>
    <n v="0"/>
    <n v="0"/>
    <n v="0"/>
    <n v="0"/>
    <n v="0"/>
    <n v="0"/>
    <n v="53.859273539300602"/>
    <n v="0"/>
    <n v="0"/>
    <n v="393.77637982682654"/>
    <n v="0"/>
    <n v="0"/>
    <n v="0"/>
    <n v="4.0205598969425154"/>
    <n v="0"/>
    <n v="0"/>
    <m/>
    <n v="0"/>
    <n v="0"/>
    <n v="0"/>
    <n v="0"/>
    <n v="0"/>
    <n v="-1.1120714213641723"/>
    <n v="0"/>
    <n v="0"/>
    <m/>
    <m/>
    <m/>
    <n v="3662.7184051518207"/>
    <n v="0"/>
    <n v="0"/>
    <n v="-1550.3608799999993"/>
    <n v="393.78384000000005"/>
    <n v="0"/>
    <n v="0"/>
    <n v="-1607.0994023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4.3879999999999999"/>
    <n v="4.3879999999999999"/>
    <n v="4.3879999999999999"/>
    <n v="4.3879999999999999"/>
    <m/>
    <n v="345.46"/>
    <n v="215.17"/>
    <m/>
    <n v="2460.0444399999997"/>
    <n v="2460.0444399999997"/>
    <n v="2109.7503999999999"/>
    <n v="0"/>
    <n v="0"/>
    <n v="0"/>
    <n v="0"/>
    <n v="0"/>
    <n v="391.91675365357838"/>
    <n v="1109.3324380042925"/>
    <n v="924.8233821214925"/>
    <n v="19.337803820678243"/>
    <n v="0"/>
    <n v="0"/>
    <n v="0"/>
    <n v="0"/>
    <n v="0"/>
    <m/>
    <n v="5.1664201371517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4426887756639282"/>
    <n v="0"/>
    <n v="0"/>
    <n v="0"/>
    <n v="703.17"/>
    <n v="57"/>
    <m/>
    <m/>
    <m/>
    <m/>
    <m/>
    <m/>
    <m/>
    <m/>
    <m/>
    <n v="934.2660708971564"/>
    <m/>
    <m/>
    <m/>
    <m/>
    <m/>
    <m/>
    <m/>
    <m/>
    <m/>
    <m/>
    <m/>
    <m/>
    <n v="2110.7119999999995"/>
    <n v="-349.36244000000033"/>
    <m/>
    <m/>
    <m/>
    <m/>
    <n v="-469.55987999999996"/>
    <n v="119.26584000000003"/>
    <n v="30"/>
    <n v="136.45690877977654"/>
    <n v="0"/>
    <n v="0"/>
    <n v="0"/>
    <n v="0"/>
    <n v="0"/>
    <n v="0"/>
    <n v="0"/>
    <n v="16.312430445227164"/>
    <n v="0"/>
    <n v="0"/>
    <n v="119.26358052734088"/>
    <n v="0"/>
    <n v="0"/>
    <n v="0"/>
    <n v="1.2177123707746933"/>
    <n v="0"/>
    <n v="0"/>
    <m/>
    <n v="0"/>
    <n v="0"/>
    <n v="0"/>
    <n v="0"/>
    <n v="0"/>
    <n v="-0.33681456356612305"/>
    <n v="0"/>
    <n v="0"/>
    <m/>
    <m/>
    <m/>
    <n v="1109.3324380042925"/>
    <n v="0"/>
    <n v="0"/>
    <n v="-469.55988000000002"/>
    <n v="119.26583999999991"/>
    <n v="0"/>
    <n v="0"/>
    <n v="-486.74435238346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1"/>
    <s v="Regular"/>
    <s v="Convencional"/>
    <s v="B3"/>
    <s v="Industrial"/>
    <s v="Não se aplica"/>
    <s v="Não se aplica"/>
    <s v="Não se aplica"/>
    <s v="Não se aplica"/>
    <s v="CATIVO"/>
    <x v="7"/>
    <n v="0"/>
    <n v="0"/>
    <n v="38.97"/>
    <n v="38.97"/>
    <n v="38.97"/>
    <n v="38.97"/>
    <m/>
    <n v="415.98"/>
    <n v="215.17"/>
    <m/>
    <n v="24595.915500000003"/>
    <n v="24595.915500000003"/>
    <n v="21376.603799999997"/>
    <n v="0"/>
    <n v="2380.5447277304752"/>
    <n v="0"/>
    <n v="0"/>
    <n v="0"/>
    <n v="3480.6280514767432"/>
    <n v="9852.0248653207109"/>
    <n v="8213.3927076742402"/>
    <n v="171.73979373104629"/>
    <n v="0"/>
    <n v="0"/>
    <n v="0"/>
    <n v="0"/>
    <n v="367.85522454750077"/>
    <m/>
    <n v="45.883179750410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86088914941277"/>
    <n v="0"/>
    <n v="0"/>
    <n v="0"/>
    <n v="8808.44"/>
    <n v="38"/>
    <m/>
    <m/>
    <m/>
    <m/>
    <m/>
    <m/>
    <m/>
    <m/>
    <m/>
    <n v="8297.2535968236534"/>
    <m/>
    <m/>
    <m/>
    <m/>
    <m/>
    <m/>
    <m/>
    <m/>
    <m/>
    <m/>
    <m/>
    <m/>
    <n v="21376.603799999997"/>
    <n v="-3219.3417000000009"/>
    <m/>
    <m/>
    <m/>
    <m/>
    <n v="-4278.5163000000002"/>
    <n v="1059.2046000000003"/>
    <n v="30"/>
    <n v="1103.3924388563428"/>
    <n v="0"/>
    <n v="0"/>
    <n v="0"/>
    <n v="0"/>
    <n v="0"/>
    <n v="0"/>
    <n v="0"/>
    <n v="144.87133419564816"/>
    <n v="0"/>
    <n v="0"/>
    <n v="1059.184533534748"/>
    <n v="0"/>
    <n v="0"/>
    <n v="0"/>
    <n v="10.814551296510899"/>
    <n v="0"/>
    <n v="-96.790561851606071"/>
    <m/>
    <n v="0"/>
    <n v="0"/>
    <n v="0"/>
    <n v="0"/>
    <n v="-11.696154977533752"/>
    <n v="-2.991263341424748"/>
    <n v="0"/>
    <n v="0"/>
    <m/>
    <m/>
    <m/>
    <n v="9852.0248653207109"/>
    <n v="0"/>
    <n v="0"/>
    <n v="-4278.5163000000011"/>
    <n v="1059.2045999999991"/>
    <n v="0"/>
    <n v="0"/>
    <n v="-4322.7956728313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2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38"/>
    <n v="2.38"/>
    <n v="2.38"/>
    <n v="2.38"/>
    <m/>
    <n v="415.98"/>
    <n v="215.17"/>
    <m/>
    <n v="1502.1369999999999"/>
    <n v="1502.1369999999999"/>
    <n v="1305.5252"/>
    <n v="0"/>
    <n v="145.38610346416553"/>
    <n v="0"/>
    <n v="0"/>
    <n v="0"/>
    <n v="212.57107422413776"/>
    <n v="601.68897047634823"/>
    <n v="501.61341145149316"/>
    <n v="10.488599155244808"/>
    <n v="0"/>
    <n v="0"/>
    <n v="0"/>
    <n v="0"/>
    <n v="22.465882330588961"/>
    <m/>
    <n v="2.8022059996401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216042128715014"/>
    <n v="0"/>
    <n v="0"/>
    <n v="0"/>
    <n v="1286.2"/>
    <n v="3"/>
    <m/>
    <m/>
    <m/>
    <m/>
    <m/>
    <m/>
    <m/>
    <m/>
    <m/>
    <n v="506.73501566436465"/>
    <m/>
    <m/>
    <m/>
    <m/>
    <m/>
    <m/>
    <m/>
    <m/>
    <m/>
    <m/>
    <m/>
    <m/>
    <n v="1305.5252"/>
    <n v="-196.64179999999988"/>
    <m/>
    <m/>
    <m/>
    <m/>
    <n v="-261.30020000000002"/>
    <n v="64.688400000000016"/>
    <n v="30"/>
    <n v="67.387067089507127"/>
    <n v="0"/>
    <n v="0"/>
    <n v="0"/>
    <n v="0"/>
    <n v="0"/>
    <n v="0"/>
    <n v="0"/>
    <n v="8.8476719370192995"/>
    <n v="0"/>
    <n v="0"/>
    <n v="64.687174488393623"/>
    <n v="0"/>
    <n v="0"/>
    <n v="0"/>
    <n v="0.66047298141380395"/>
    <n v="0"/>
    <n v="-5.9112532000723945"/>
    <m/>
    <n v="0"/>
    <n v="0"/>
    <n v="0"/>
    <n v="0"/>
    <n v="-0.71431482798384138"/>
    <n v="-0.18268428926330271"/>
    <n v="0"/>
    <n v="0"/>
    <m/>
    <m/>
    <m/>
    <n v="601.68897047634823"/>
    <n v="0"/>
    <n v="0"/>
    <n v="-261.30020000000013"/>
    <n v="64.688400000000115"/>
    <n v="0"/>
    <n v="0"/>
    <n v="-264.00445730917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3"/>
    <s v="Regular"/>
    <s v="Verde"/>
    <s v="A4"/>
    <s v="Industrial"/>
    <s v="Não se aplica"/>
    <s v="Não se aplica"/>
    <s v="Não se aplica"/>
    <s v="Ponta"/>
    <s v="CATIVO"/>
    <x v="7"/>
    <n v="0"/>
    <n v="0"/>
    <n v="114.376"/>
    <n v="114.376"/>
    <n v="114.376"/>
    <n v="114.376"/>
    <m/>
    <n v="2184.0300000000002"/>
    <n v="215.17"/>
    <m/>
    <n v="274410.89920000004"/>
    <n v="274410.89920000004"/>
    <n v="207065.16664000001"/>
    <n v="0"/>
    <n v="6078.5514469500495"/>
    <n v="0"/>
    <n v="0"/>
    <n v="0"/>
    <n v="75373.128185531779"/>
    <n v="167095.10962977525"/>
    <n v="24106.107373183189"/>
    <n v="504.05210797490764"/>
    <n v="0"/>
    <n v="0"/>
    <n v="0"/>
    <n v="0"/>
    <n v="1079.6461165728754"/>
    <m/>
    <n v="78.904873772627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029423044173299"/>
    <n v="0"/>
    <n v="0"/>
    <n v="0"/>
    <n v="0"/>
    <n v="0"/>
    <m/>
    <m/>
    <m/>
    <m/>
    <m/>
    <m/>
    <m/>
    <m/>
    <m/>
    <n v="24201.136796227362"/>
    <m/>
    <m/>
    <m/>
    <m/>
    <m/>
    <m/>
    <m/>
    <m/>
    <m/>
    <m/>
    <m/>
    <m/>
    <n v="207072.40819999998"/>
    <n v="-67338.521000000095"/>
    <m/>
    <m/>
    <m/>
    <m/>
    <n v="-70454.472240000032"/>
    <n v="3108.739680000001"/>
    <n v="30"/>
    <n v="5971.5098848380148"/>
    <n v="0"/>
    <n v="0"/>
    <n v="0"/>
    <n v="0"/>
    <n v="0"/>
    <n v="0"/>
    <n v="0"/>
    <n v="3137.1940584414551"/>
    <n v="0"/>
    <n v="0"/>
    <n v="3108.6807854136605"/>
    <n v="0"/>
    <n v="0"/>
    <n v="0"/>
    <n v="12.254825588100204"/>
    <n v="0"/>
    <n v="-247.14780736553257"/>
    <m/>
    <n v="0"/>
    <n v="0"/>
    <n v="0"/>
    <n v="0"/>
    <n v="-34.327929733394967"/>
    <n v="-5.1440475062914572"/>
    <n v="0"/>
    <n v="0"/>
    <m/>
    <m/>
    <m/>
    <n v="167095.10962977525"/>
    <n v="0"/>
    <n v="0"/>
    <n v="-70454.472240000032"/>
    <n v="3108.7396800000024"/>
    <n v="0"/>
    <n v="0"/>
    <n v="-73316.706639813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4"/>
    <s v="Regular"/>
    <s v="Verde"/>
    <s v="A4"/>
    <s v="Industrial"/>
    <s v="Não se aplica"/>
    <s v="Não se aplica"/>
    <s v="Não se aplica"/>
    <s v="Fora ponta"/>
    <s v="CATIVO"/>
    <x v="7"/>
    <n v="0"/>
    <n v="0"/>
    <n v="2332.5039999999999"/>
    <n v="2332.5039999999999"/>
    <n v="2332.5039999999999"/>
    <n v="2332.5039999999999"/>
    <m/>
    <n v="64.11"/>
    <n v="215.17"/>
    <m/>
    <n v="651421.71711999993"/>
    <n v="651421.71711999993"/>
    <n v="709221.16623999993"/>
    <n v="0"/>
    <n v="123961.71892894294"/>
    <n v="0"/>
    <n v="0"/>
    <n v="0"/>
    <n v="0"/>
    <n v="0"/>
    <n v="491603.06246397214"/>
    <n v="10279.285497481149"/>
    <n v="0"/>
    <n v="0"/>
    <n v="0"/>
    <n v="0"/>
    <n v="22017.54638639835"/>
    <m/>
    <n v="1609.1307065656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7.9634658339719"/>
    <n v="0"/>
    <n v="0"/>
    <n v="0"/>
    <n v="0"/>
    <n v="0"/>
    <m/>
    <m/>
    <m/>
    <m/>
    <m/>
    <m/>
    <m/>
    <m/>
    <m/>
    <n v="493541.02592980611"/>
    <m/>
    <m/>
    <m/>
    <m/>
    <m/>
    <m/>
    <m/>
    <m/>
    <m/>
    <m/>
    <m/>
    <m/>
    <n v="709219.95"/>
    <n v="57798.202879999997"/>
    <m/>
    <m/>
    <m/>
    <m/>
    <n v="-5598.0095999999967"/>
    <n v="63397.458720000017"/>
    <n v="30"/>
    <n v="57801.050940173096"/>
    <n v="0"/>
    <n v="0"/>
    <n v="0"/>
    <n v="0"/>
    <n v="0"/>
    <n v="0"/>
    <n v="0"/>
    <n v="0"/>
    <n v="0"/>
    <n v="0"/>
    <n v="63396.257665073965"/>
    <n v="0"/>
    <n v="0"/>
    <n v="0"/>
    <n v="249.91632600848152"/>
    <n v="0"/>
    <n v="-5040.1592053519416"/>
    <m/>
    <n v="0"/>
    <n v="0"/>
    <n v="0"/>
    <n v="0"/>
    <n v="-700.0597451813519"/>
    <n v="-104.90410037608262"/>
    <n v="0"/>
    <n v="0"/>
    <m/>
    <m/>
    <m/>
    <n v="0"/>
    <n v="0"/>
    <n v="0"/>
    <n v="-5598.0095999999903"/>
    <n v="63397.45871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5"/>
    <s v="Regular"/>
    <s v="Verde"/>
    <s v="A4"/>
    <s v="Industrial"/>
    <s v="Não se aplica"/>
    <s v="Não se aplica"/>
    <s v="Não se aplica"/>
    <s v="Não se aplica"/>
    <s v="CATIVO"/>
    <x v="7"/>
    <n v="6820"/>
    <n v="6820"/>
    <n v="0"/>
    <n v="0"/>
    <n v="0"/>
    <n v="0"/>
    <n v="28.04"/>
    <m/>
    <m/>
    <n v="191232.8"/>
    <m/>
    <n v="191232.8"/>
    <n v="143629.19999999998"/>
    <n v="0"/>
    <n v="0"/>
    <n v="0"/>
    <n v="0"/>
    <n v="0"/>
    <n v="75502.019830519319"/>
    <n v="115764.725319953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4324.66"/>
    <n v="15"/>
    <m/>
    <m/>
    <m/>
    <m/>
    <m/>
    <m/>
    <m/>
    <m/>
    <m/>
    <n v="0"/>
    <m/>
    <m/>
    <m/>
    <m/>
    <m/>
    <m/>
    <m/>
    <m/>
    <m/>
    <m/>
    <m/>
    <m/>
    <n v="143629.19999999998"/>
    <n v="-47603.630000000034"/>
    <m/>
    <m/>
    <m/>
    <m/>
    <n v="-47603.600000000006"/>
    <n v="0"/>
    <n v="30"/>
    <n v="3142.5588099456945"/>
    <n v="0"/>
    <n v="0"/>
    <n v="0"/>
    <n v="0"/>
    <m/>
    <m/>
    <m/>
    <n v="3142.55880994569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764.72531995326"/>
    <m/>
    <n v="0"/>
    <n v="0"/>
    <n v="-47603.600000000006"/>
    <m/>
    <n v="0"/>
    <m/>
    <n v="-50794.355527980006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276"/>
    <s v="Regular"/>
    <s v="Convencional"/>
    <s v="B3"/>
    <s v="Comercial"/>
    <s v="Não se aplica"/>
    <s v="Não se aplica"/>
    <s v="Não se aplica"/>
    <s v="Não se aplica"/>
    <s v="CATIVO"/>
    <x v="7"/>
    <n v="0"/>
    <n v="0"/>
    <n v="179.47399999999999"/>
    <n v="179.47399999999999"/>
    <n v="179.47399999999999"/>
    <n v="179.47399999999999"/>
    <m/>
    <n v="415.98"/>
    <n v="215.17"/>
    <m/>
    <n v="113275.01509999999"/>
    <n v="113275.01509999999"/>
    <n v="98448.667959999992"/>
    <n v="0"/>
    <n v="10963.456106356154"/>
    <n v="0"/>
    <n v="0"/>
    <n v="0"/>
    <n v="16029.823939202899"/>
    <n v="45372.910204736188"/>
    <n v="37826.287986069445"/>
    <n v="790.93732974302793"/>
    <n v="0"/>
    <n v="0"/>
    <n v="0"/>
    <n v="0"/>
    <n v="1694.1351955462703"/>
    <m/>
    <n v="211.31223511740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6.21630021046207"/>
    <n v="0"/>
    <n v="0"/>
    <n v="0"/>
    <n v="40610.089999999997"/>
    <n v="447"/>
    <m/>
    <m/>
    <m/>
    <m/>
    <m/>
    <m/>
    <m/>
    <m/>
    <m/>
    <n v="38212.504286279909"/>
    <m/>
    <m/>
    <m/>
    <m/>
    <m/>
    <m/>
    <m/>
    <m/>
    <m/>
    <m/>
    <m/>
    <m/>
    <n v="98446.473800000007"/>
    <n v="-14828.571299999967"/>
    <m/>
    <m/>
    <m/>
    <m/>
    <n v="-19704.450460000004"/>
    <n v="4878.1033200000011"/>
    <n v="30"/>
    <n v="5081.6077642110031"/>
    <n v="0"/>
    <n v="0"/>
    <n v="0"/>
    <n v="0"/>
    <n v="0"/>
    <n v="0"/>
    <n v="0"/>
    <n v="667.19624925403332"/>
    <n v="0"/>
    <n v="0"/>
    <n v="4878.0109050966275"/>
    <n v="0"/>
    <n v="0"/>
    <n v="0"/>
    <n v="49.805768011034104"/>
    <n v="0"/>
    <n v="-445.76313312176353"/>
    <m/>
    <n v="0"/>
    <n v="0"/>
    <n v="0"/>
    <n v="0"/>
    <n v="-53.865940940156406"/>
    <n v="-13.776084088757131"/>
    <n v="0"/>
    <n v="0"/>
    <m/>
    <m/>
    <m/>
    <n v="45372.910204736188"/>
    <n v="0"/>
    <n v="0"/>
    <n v="-19704.45046"/>
    <n v="4878.1033199999947"/>
    <n v="0"/>
    <n v="0"/>
    <n v="-19908.37645844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7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0.34599999999999997"/>
    <n v="-0.34599999999999997"/>
    <n v="-0.34599999999999997"/>
    <n v="-0.34599999999999997"/>
    <m/>
    <n v="415.98"/>
    <n v="215.17"/>
    <m/>
    <n v="-218.37789999999998"/>
    <n v="-218.37789999999998"/>
    <n v="-189.79483999999999"/>
    <n v="0"/>
    <n v="-21.135962940588769"/>
    <n v="0"/>
    <n v="0"/>
    <n v="0"/>
    <n v="-30.903189782164564"/>
    <n v="-87.472430161687598"/>
    <n v="-72.923630404292709"/>
    <n v="-1.5248131545019761"/>
    <n v="0"/>
    <n v="0"/>
    <n v="0"/>
    <n v="0"/>
    <n v="-3.2660484396570504"/>
    <m/>
    <n v="-0.40737952767878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4456935195526863"/>
    <n v="0"/>
    <n v="0"/>
    <n v="0"/>
    <n v="-79.63"/>
    <n v="0"/>
    <m/>
    <m/>
    <m/>
    <m/>
    <m/>
    <m/>
    <m/>
    <m/>
    <m/>
    <n v="-73.668199756247972"/>
    <m/>
    <m/>
    <m/>
    <m/>
    <m/>
    <m/>
    <m/>
    <m/>
    <m/>
    <m/>
    <m/>
    <m/>
    <n v="-191.98899999999998"/>
    <n v="26.358900000000034"/>
    <m/>
    <m/>
    <m/>
    <m/>
    <n v="37.987340000000003"/>
    <n v="-9.4042800000000017"/>
    <n v="30"/>
    <n v="-9.7966072323401079"/>
    <n v="0"/>
    <n v="0"/>
    <n v="0"/>
    <n v="0"/>
    <n v="0"/>
    <n v="0"/>
    <n v="0"/>
    <n v="-1.2862581891633091"/>
    <n v="0"/>
    <n v="0"/>
    <n v="-9.4041018373883105"/>
    <n v="0"/>
    <n v="0"/>
    <n v="0"/>
    <n v="-9.6018340995452145E-2"/>
    <n v="0"/>
    <n v="0.85936706185926681"/>
    <m/>
    <n v="0"/>
    <n v="0"/>
    <n v="0"/>
    <n v="0"/>
    <n v="0.10384576911025567"/>
    <n v="2.6558304237438102E-2"/>
    <n v="0"/>
    <n v="0"/>
    <m/>
    <m/>
    <m/>
    <n v="-87.472430161687598"/>
    <n v="0"/>
    <n v="0"/>
    <n v="37.987340000000003"/>
    <n v="-9.4042800000000142"/>
    <n v="0"/>
    <n v="0"/>
    <n v="38.380479928140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8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2.3570000000000002"/>
    <n v="2.3570000000000002"/>
    <n v="2.3570000000000002"/>
    <n v="2.3570000000000002"/>
    <m/>
    <n v="415.98"/>
    <n v="215.17"/>
    <m/>
    <n v="1487.6205500000001"/>
    <n v="1487.6205500000001"/>
    <n v="1292.9087800000002"/>
    <n v="0"/>
    <n v="143.98111170799925"/>
    <n v="0"/>
    <n v="0"/>
    <n v="0"/>
    <n v="210.51681594382049"/>
    <n v="595.87432916502223"/>
    <n v="496.76588688704607"/>
    <n v="10.387238743240342"/>
    <n v="0"/>
    <n v="0"/>
    <n v="0"/>
    <n v="0"/>
    <n v="22.248775064368985"/>
    <m/>
    <n v="2.7751258576268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721097183773658"/>
    <n v="0"/>
    <n v="0"/>
    <n v="0"/>
    <n v="1115.99"/>
    <n v="7"/>
    <m/>
    <m/>
    <m/>
    <m/>
    <m/>
    <m/>
    <m/>
    <m/>
    <m/>
    <n v="501.83799660542343"/>
    <m/>
    <m/>
    <m/>
    <m/>
    <m/>
    <m/>
    <m/>
    <m/>
    <m/>
    <m/>
    <m/>
    <m/>
    <n v="1294.5544"/>
    <n v="-193.09615000000008"/>
    <m/>
    <m/>
    <m/>
    <m/>
    <n v="-258.77503000000007"/>
    <n v="64.063260000000028"/>
    <n v="30"/>
    <n v="66.735847533600349"/>
    <n v="0"/>
    <n v="0"/>
    <n v="0"/>
    <n v="0"/>
    <n v="0"/>
    <n v="0"/>
    <n v="0"/>
    <n v="8.762169225022916"/>
    <n v="0"/>
    <n v="0"/>
    <n v="64.062046331573072"/>
    <n v="0"/>
    <n v="0"/>
    <n v="0"/>
    <n v="0.65409025932451126"/>
    <n v="0"/>
    <n v="-5.8541276439372609"/>
    <m/>
    <n v="0"/>
    <n v="0"/>
    <n v="0"/>
    <n v="0"/>
    <n v="-0.70741178552853512"/>
    <n v="-0.18091885285445564"/>
    <n v="0"/>
    <n v="0"/>
    <m/>
    <m/>
    <m/>
    <n v="595.87432916502223"/>
    <n v="0"/>
    <n v="0"/>
    <n v="-258.77503000000013"/>
    <n v="64.063260000000071"/>
    <n v="0"/>
    <n v="0"/>
    <n v="-261.45315373013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79"/>
    <s v="Regular"/>
    <s v="Verde"/>
    <s v="A4"/>
    <s v="Comercial"/>
    <s v="Não se aplica"/>
    <s v="Não se aplica"/>
    <s v="Não se aplica"/>
    <s v="Ponta"/>
    <s v="CATIVO"/>
    <x v="7"/>
    <n v="0"/>
    <n v="0"/>
    <n v="2.5750000000000002"/>
    <n v="2.5750000000000002"/>
    <n v="2.5750000000000002"/>
    <n v="2.5750000000000002"/>
    <m/>
    <n v="2184.0300000000002"/>
    <n v="215.17"/>
    <m/>
    <n v="6177.9400000000005"/>
    <n v="6177.9400000000005"/>
    <n v="4661.75425"/>
    <n v="0"/>
    <n v="136.84925138050272"/>
    <n v="0"/>
    <n v="0"/>
    <n v="0"/>
    <n v="1696.9102353443409"/>
    <n v="3761.8897959071073"/>
    <n v="542.71198928050217"/>
    <n v="11.347959170065288"/>
    <n v="0"/>
    <n v="0"/>
    <n v="0"/>
    <n v="0"/>
    <n v="24.306574370280075"/>
    <m/>
    <n v="1.776422063759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94415291559965"/>
    <n v="0"/>
    <n v="0"/>
    <n v="0"/>
    <n v="0"/>
    <n v="0"/>
    <m/>
    <m/>
    <m/>
    <m/>
    <m/>
    <m/>
    <m/>
    <m/>
    <m/>
    <n v="544.85143080965815"/>
    <m/>
    <m/>
    <m/>
    <m/>
    <m/>
    <m/>
    <m/>
    <m/>
    <m/>
    <m/>
    <m/>
    <m/>
    <n v="4670.8062"/>
    <n v="-1507.1638000000012"/>
    <m/>
    <m/>
    <m/>
    <m/>
    <n v="-1586.1742500000007"/>
    <n v="69.988500000000016"/>
    <n v="30"/>
    <n v="134.43937498651712"/>
    <n v="0"/>
    <n v="0"/>
    <n v="0"/>
    <n v="0"/>
    <n v="0"/>
    <n v="0"/>
    <n v="0"/>
    <n v="70.629106635017479"/>
    <n v="0"/>
    <n v="0"/>
    <n v="69.987174078829185"/>
    <n v="0"/>
    <n v="0"/>
    <n v="0"/>
    <n v="0.27589857915435045"/>
    <n v="0"/>
    <n v="-5.5641533535553549"/>
    <m/>
    <n v="0"/>
    <n v="0"/>
    <n v="0"/>
    <n v="0"/>
    <n v="-0.77284062271360909"/>
    <n v="-0.11581033021525911"/>
    <n v="0"/>
    <n v="0"/>
    <m/>
    <m/>
    <m/>
    <n v="3761.8897959071073"/>
    <n v="0"/>
    <n v="0"/>
    <n v="-1586.1742500000005"/>
    <n v="69.988499999999931"/>
    <n v="0"/>
    <n v="0"/>
    <n v="-1650.61306215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0"/>
    <s v="Regular"/>
    <s v="Verde"/>
    <s v="A4"/>
    <s v="Comercial"/>
    <s v="Não se aplica"/>
    <s v="Não se aplica"/>
    <s v="Não se aplica"/>
    <s v="Fora ponta"/>
    <s v="CATIVO"/>
    <x v="7"/>
    <n v="0"/>
    <n v="0"/>
    <n v="29.888000000000002"/>
    <n v="29.888000000000002"/>
    <n v="29.888000000000002"/>
    <n v="29.888000000000002"/>
    <m/>
    <n v="64.11"/>
    <n v="215.17"/>
    <m/>
    <n v="8347.120640000001"/>
    <n v="8347.120640000001"/>
    <n v="9087.745280000001"/>
    <n v="0"/>
    <n v="1588.4079321399865"/>
    <n v="0"/>
    <n v="0"/>
    <n v="0"/>
    <n v="0"/>
    <n v="0"/>
    <n v="6299.2527905303486"/>
    <n v="131.71565191258691"/>
    <n v="0"/>
    <n v="0"/>
    <n v="0"/>
    <n v="0"/>
    <n v="282.12617272968191"/>
    <m/>
    <n v="20.618913647236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832477057636666"/>
    <n v="0"/>
    <n v="0"/>
    <n v="0"/>
    <n v="0"/>
    <n v="0"/>
    <m/>
    <m/>
    <m/>
    <m/>
    <m/>
    <m/>
    <m/>
    <m/>
    <m/>
    <n v="6324.0852675879851"/>
    <m/>
    <m/>
    <m/>
    <m/>
    <m/>
    <m/>
    <m/>
    <m/>
    <m/>
    <m/>
    <m/>
    <m/>
    <n v="9088.3534"/>
    <n v="741.20276000000013"/>
    <m/>
    <m/>
    <m/>
    <m/>
    <n v="-71.731199999999959"/>
    <n v="812.35584000000028"/>
    <n v="30"/>
    <n v="740.64516523868588"/>
    <n v="0"/>
    <n v="0"/>
    <n v="0"/>
    <n v="0"/>
    <n v="0"/>
    <n v="0"/>
    <n v="0"/>
    <n v="0"/>
    <n v="0"/>
    <n v="0"/>
    <n v="812.34045004584459"/>
    <n v="0"/>
    <n v="0"/>
    <n v="0"/>
    <n v="3.2023521296175694"/>
    <n v="0"/>
    <n v="-64.583073953810526"/>
    <m/>
    <n v="0"/>
    <n v="0"/>
    <n v="0"/>
    <n v="0"/>
    <n v="-8.970353604529862"/>
    <n v="-1.3442093784363749"/>
    <n v="0"/>
    <n v="0"/>
    <m/>
    <m/>
    <m/>
    <n v="0"/>
    <n v="0"/>
    <n v="0"/>
    <n v="-71.731199999999944"/>
    <n v="812.3558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1"/>
    <s v="Regular"/>
    <s v="Verde"/>
    <s v="A4"/>
    <s v="Comercial"/>
    <s v="Não se aplica"/>
    <s v="Não se aplica"/>
    <s v="Não se aplica"/>
    <s v="Não se aplica"/>
    <s v="CATIVO"/>
    <x v="7"/>
    <n v="110"/>
    <n v="110"/>
    <n v="0"/>
    <n v="0"/>
    <n v="0"/>
    <n v="0"/>
    <n v="28.04"/>
    <m/>
    <m/>
    <n v="3084.4"/>
    <m/>
    <n v="3084.4"/>
    <n v="2316.6"/>
    <n v="0"/>
    <n v="0"/>
    <n v="0"/>
    <n v="0"/>
    <n v="0"/>
    <n v="1217.7745133954729"/>
    <n v="1867.17298903150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86.59"/>
    <n v="1"/>
    <m/>
    <m/>
    <m/>
    <m/>
    <m/>
    <m/>
    <m/>
    <m/>
    <m/>
    <n v="0"/>
    <m/>
    <m/>
    <m/>
    <m/>
    <m/>
    <m/>
    <m/>
    <m/>
    <m/>
    <m/>
    <m/>
    <m/>
    <n v="2316.6"/>
    <n v="-767.83000000000084"/>
    <m/>
    <m/>
    <m/>
    <m/>
    <n v="-767.80000000000007"/>
    <n v="0"/>
    <n v="30"/>
    <n v="50.686432418478944"/>
    <n v="0"/>
    <n v="0"/>
    <n v="0"/>
    <n v="0"/>
    <m/>
    <m/>
    <m/>
    <n v="50.6864324184789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67.1729890315041"/>
    <m/>
    <n v="0"/>
    <n v="0"/>
    <n v="-767.80000000000018"/>
    <m/>
    <n v="0"/>
    <m/>
    <n v="-819.26379883838717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282"/>
    <s v="Regular"/>
    <s v="Branca"/>
    <s v="B3"/>
    <s v="Comercial"/>
    <s v="Não se aplica"/>
    <s v="Não se aplica"/>
    <s v="Não se aplica"/>
    <s v="Ponta"/>
    <s v="CATIVO"/>
    <x v="7"/>
    <n v="0"/>
    <n v="0"/>
    <n v="8.6999999999999994E-2"/>
    <n v="8.6999999999999994E-2"/>
    <n v="8.6999999999999994E-2"/>
    <n v="8.6999999999999994E-2"/>
    <m/>
    <n v="1254.27"/>
    <n v="215.17"/>
    <m/>
    <n v="127.84127999999998"/>
    <n v="127.84127999999998"/>
    <n v="97.802789999999987"/>
    <n v="0"/>
    <n v="5.3145340341942866"/>
    <n v="0"/>
    <n v="0"/>
    <n v="0"/>
    <n v="26.814774457519924"/>
    <n v="75.881046811819118"/>
    <n v="18.336288569865506"/>
    <n v="0.38340677584298244"/>
    <n v="0"/>
    <n v="0"/>
    <n v="0"/>
    <n v="0"/>
    <n v="0.82123183309295777"/>
    <m/>
    <n v="0.10243358065911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8721830526042882"/>
    <n v="0"/>
    <n v="0"/>
    <n v="0"/>
    <n v="0"/>
    <n v="0"/>
    <m/>
    <m/>
    <m/>
    <m/>
    <m/>
    <m/>
    <m/>
    <m/>
    <m/>
    <n v="18.523506875125936"/>
    <m/>
    <m/>
    <m/>
    <m/>
    <m/>
    <m/>
    <m/>
    <m/>
    <m/>
    <m/>
    <m/>
    <m/>
    <n v="101.17529999999999"/>
    <n v="-26.695980000000006"/>
    <m/>
    <m/>
    <m/>
    <m/>
    <n v="-32.403149999999989"/>
    <n v="2.3646600000000007"/>
    <n v="30"/>
    <n v="3.2559748755262348"/>
    <n v="0"/>
    <n v="0"/>
    <n v="0"/>
    <n v="0"/>
    <n v="0"/>
    <n v="0"/>
    <n v="0"/>
    <n v="1.1160894224731059"/>
    <n v="0"/>
    <n v="0"/>
    <n v="2.3646152018866609"/>
    <n v="0"/>
    <n v="0"/>
    <n v="0"/>
    <n v="2.4143340076891145E-2"/>
    <n v="0"/>
    <n v="-0.21608362538079895"/>
    <m/>
    <n v="0"/>
    <n v="0"/>
    <n v="0"/>
    <n v="0"/>
    <n v="-2.6111508417896667E-2"/>
    <n v="-6.6779551117257668E-3"/>
    <n v="0"/>
    <n v="0"/>
    <m/>
    <m/>
    <m/>
    <n v="75.881046811819118"/>
    <n v="0"/>
    <n v="0"/>
    <n v="-32.403149999999997"/>
    <n v="2.3646600000000007"/>
    <n v="0"/>
    <n v="0"/>
    <n v="-33.294501921393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3"/>
    <s v="Regular"/>
    <s v="Branca"/>
    <s v="B3"/>
    <s v="Comercial"/>
    <s v="Não se aplica"/>
    <s v="Não se aplica"/>
    <s v="Não se aplica"/>
    <s v="Fora ponta"/>
    <s v="CATIVO"/>
    <x v="7"/>
    <n v="0"/>
    <n v="0"/>
    <n v="0.91200000000000003"/>
    <n v="0.91200000000000003"/>
    <n v="0.91200000000000003"/>
    <n v="0.91200000000000003"/>
    <m/>
    <n v="309.91000000000003"/>
    <n v="215.17"/>
    <m/>
    <n v="478.87296000000003"/>
    <n v="478.87296000000003"/>
    <n v="433.83839999999998"/>
    <n v="0"/>
    <n v="55.710977461898729"/>
    <n v="0"/>
    <n v="0"/>
    <n v="0"/>
    <n v="56.19440340927892"/>
    <n v="159.08869034584094"/>
    <n v="192.21488707721085"/>
    <n v="4.0191606846988508"/>
    <n v="0"/>
    <n v="0"/>
    <n v="0"/>
    <n v="0"/>
    <n v="8.6087750779399723"/>
    <m/>
    <n v="1.0737865007024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625643034196678"/>
    <n v="0"/>
    <n v="0"/>
    <n v="0"/>
    <n v="0"/>
    <n v="0"/>
    <m/>
    <m/>
    <m/>
    <m/>
    <m/>
    <m/>
    <m/>
    <m/>
    <m/>
    <n v="194.17745138063052"/>
    <m/>
    <m/>
    <m/>
    <m/>
    <m/>
    <m/>
    <m/>
    <m/>
    <m/>
    <m/>
    <m/>
    <m/>
    <n v="432.887"/>
    <n v="-46.015960000000007"/>
    <m/>
    <m/>
    <m/>
    <m/>
    <n v="-69.822720000000032"/>
    <n v="24.788160000000008"/>
    <n v="30"/>
    <n v="24.770836365762591"/>
    <n v="0"/>
    <n v="0"/>
    <n v="0"/>
    <n v="0"/>
    <n v="0"/>
    <n v="0"/>
    <n v="0"/>
    <n v="2.3389336854814999"/>
    <n v="0"/>
    <n v="0"/>
    <n v="24.787690392191166"/>
    <n v="0"/>
    <n v="0"/>
    <n v="0"/>
    <n v="0.2530888063232728"/>
    <n v="0"/>
    <n v="-2.2651524867504378"/>
    <m/>
    <n v="0"/>
    <n v="0"/>
    <n v="0"/>
    <n v="0"/>
    <n v="-0.27372063996691764"/>
    <n v="-7.0003391516022084E-2"/>
    <n v="0"/>
    <n v="0"/>
    <m/>
    <m/>
    <m/>
    <n v="159.08869034584094"/>
    <n v="0"/>
    <n v="0"/>
    <n v="-69.822720000000004"/>
    <n v="24.788160000000005"/>
    <n v="0"/>
    <n v="0"/>
    <n v="-69.803711584625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4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2.3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85"/>
    <s v="Regular"/>
    <s v="Branca"/>
    <s v="B3"/>
    <s v="Comercial"/>
    <s v="Não se aplica"/>
    <s v="Não se aplica"/>
    <s v="Não se aplica"/>
    <s v="Intermediário"/>
    <s v="CATIVO"/>
    <x v="7"/>
    <n v="0"/>
    <n v="0"/>
    <n v="5.7000000000000002E-2"/>
    <n v="5.7000000000000002E-2"/>
    <n v="5.7000000000000002E-2"/>
    <n v="5.7000000000000002E-2"/>
    <m/>
    <n v="782.07"/>
    <n v="215.17"/>
    <m/>
    <n v="56.842680000000009"/>
    <n v="56.842680000000009"/>
    <n v="45.59487"/>
    <n v="0"/>
    <n v="3.4819360913686705"/>
    <n v="0"/>
    <n v="0"/>
    <n v="0"/>
    <n v="10.538967119656917"/>
    <n v="29.829096447285412"/>
    <n v="12.013430442325678"/>
    <n v="0.25119754279367817"/>
    <n v="0"/>
    <n v="0"/>
    <n v="0"/>
    <n v="0"/>
    <n v="0.53804844237124827"/>
    <m/>
    <n v="6.71116562939033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266026896372924"/>
    <n v="0"/>
    <n v="0"/>
    <n v="0"/>
    <n v="0"/>
    <n v="0"/>
    <m/>
    <m/>
    <m/>
    <m/>
    <m/>
    <m/>
    <m/>
    <m/>
    <m/>
    <n v="12.136090711289407"/>
    <m/>
    <m/>
    <m/>
    <m/>
    <m/>
    <m/>
    <m/>
    <m/>
    <m/>
    <m/>
    <m/>
    <m/>
    <n v="47.994599999999991"/>
    <n v="-8.8780800000000113"/>
    <m/>
    <m/>
    <m/>
    <m/>
    <n v="-12.797070000000007"/>
    <n v="1.5492600000000005"/>
    <n v="30"/>
    <n v="1.8406487249512189"/>
    <n v="0"/>
    <n v="0"/>
    <n v="0"/>
    <n v="0"/>
    <n v="0"/>
    <n v="0"/>
    <n v="0"/>
    <n v="0.43865480743365381"/>
    <n v="0"/>
    <n v="0"/>
    <n v="1.5492306495119479"/>
    <n v="0"/>
    <n v="0"/>
    <n v="0"/>
    <n v="1.581805039520455E-2"/>
    <n v="0"/>
    <n v="-0.14157203042190236"/>
    <m/>
    <n v="0"/>
    <n v="0"/>
    <n v="0"/>
    <n v="0"/>
    <n v="-1.7107539997932353E-2"/>
    <n v="-4.3752119697513803E-3"/>
    <n v="0"/>
    <n v="0"/>
    <m/>
    <m/>
    <m/>
    <n v="29.829096447285412"/>
    <n v="0"/>
    <n v="0"/>
    <n v="-12.797070000000009"/>
    <n v="1.5492600000000003"/>
    <n v="0"/>
    <n v="0"/>
    <n v="-13.088181445895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6"/>
    <s v="Regular"/>
    <s v="Convencional"/>
    <s v="B2"/>
    <s v="Rural"/>
    <s v="Não se aplica"/>
    <s v="Não se aplica"/>
    <s v="Não se aplica"/>
    <s v="Não se aplica"/>
    <s v="CATIVO"/>
    <x v="7"/>
    <n v="0"/>
    <n v="0"/>
    <n v="504.02499999999998"/>
    <n v="504.02499999999998"/>
    <n v="504.02499999999998"/>
    <n v="504.02499999999998"/>
    <m/>
    <n v="415.98"/>
    <n v="215.17"/>
    <m/>
    <n v="318115.37875000003"/>
    <n v="318115.37875000003"/>
    <n v="276477.87349999999"/>
    <n v="0"/>
    <n v="30789.172604422703"/>
    <n v="0"/>
    <n v="0"/>
    <n v="0"/>
    <n v="45017.283901605479"/>
    <n v="127422.80812787455"/>
    <n v="106229.28559110877"/>
    <n v="2221.2252895891866"/>
    <n v="0"/>
    <n v="0"/>
    <n v="0"/>
    <n v="0"/>
    <n v="4757.7169502836559"/>
    <m/>
    <n v="593.437764272537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4.6288081481337"/>
    <n v="0"/>
    <n v="0"/>
    <n v="0"/>
    <n v="74278.31"/>
    <n v="1584"/>
    <m/>
    <m/>
    <m/>
    <m/>
    <m/>
    <n v="33174.925499999998"/>
    <m/>
    <m/>
    <m/>
    <n v="107313.9143992569"/>
    <m/>
    <m/>
    <m/>
    <m/>
    <m/>
    <m/>
    <m/>
    <m/>
    <m/>
    <m/>
    <m/>
    <m/>
    <n v="243305.3616"/>
    <n v="-36635.19365000003"/>
    <m/>
    <m/>
    <m/>
    <m/>
    <n v="-55336.904750000009"/>
    <n v="13699.399500000003"/>
    <n v="30"/>
    <n v="14270.91028982721"/>
    <n v="0"/>
    <n v="0"/>
    <n v="0"/>
    <n v="0"/>
    <n v="0"/>
    <n v="0"/>
    <n v="0"/>
    <n v="1873.7175832168723"/>
    <n v="0"/>
    <n v="0"/>
    <n v="13699.1399670221"/>
    <n v="0"/>
    <n v="0"/>
    <n v="0"/>
    <n v="139.87180439373651"/>
    <n v="0"/>
    <n v="-1251.8568883052503"/>
    <m/>
    <n v="0"/>
    <n v="0"/>
    <n v="0"/>
    <n v="0"/>
    <n v="-151.27417276241886"/>
    <n v="-38.688003737788222"/>
    <n v="0"/>
    <n v="0"/>
    <m/>
    <m/>
    <m/>
    <n v="127422.80812787455"/>
    <n v="0"/>
    <n v="0"/>
    <n v="-55336.904750000016"/>
    <n v="13699.3995"/>
    <n v="0"/>
    <n v="0"/>
    <n v="-55909.59940977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7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0.1"/>
    <n v="-0.1"/>
    <n v="-0.1"/>
    <n v="-0.1"/>
    <m/>
    <n v="415.98"/>
    <n v="215.17"/>
    <m/>
    <n v="-63.115000000000009"/>
    <n v="-63.115000000000009"/>
    <n v="-54.853999999999999"/>
    <n v="0"/>
    <n v="-6.1086598094187208"/>
    <n v="0"/>
    <n v="0"/>
    <n v="0"/>
    <n v="-8.9315577405099909"/>
    <n v="-25.281049179678501"/>
    <n v="-21.076193758466104"/>
    <n v="-0.44069744349768103"/>
    <n v="0"/>
    <n v="0"/>
    <n v="0"/>
    <n v="0"/>
    <n v="-0.94394463573903209"/>
    <m/>
    <n v="-0.11773974788404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15193454322332"/>
    <n v="0"/>
    <n v="0"/>
    <n v="0"/>
    <n v="-9.42"/>
    <n v="0"/>
    <m/>
    <m/>
    <m/>
    <m/>
    <m/>
    <n v="-6.5819999999999999"/>
    <m/>
    <m/>
    <m/>
    <n v="-21.291387212788436"/>
    <m/>
    <m/>
    <m/>
    <m/>
    <m/>
    <m/>
    <m/>
    <m/>
    <m/>
    <m/>
    <m/>
    <m/>
    <n v="-48.272000000000006"/>
    <n v="7.2389999999999972"/>
    <m/>
    <m/>
    <m/>
    <m/>
    <n v="10.979000000000003"/>
    <n v="-2.7180000000000009"/>
    <n v="30"/>
    <n v="-2.8313893735087063"/>
    <n v="0"/>
    <n v="0"/>
    <n v="0"/>
    <n v="0"/>
    <n v="0"/>
    <n v="0"/>
    <n v="0"/>
    <n v="-0.37175092172349977"/>
    <n v="0"/>
    <n v="0"/>
    <n v="-2.7179485079156969"/>
    <n v="0"/>
    <n v="0"/>
    <n v="0"/>
    <n v="-2.7750965605622013E-2"/>
    <n v="0"/>
    <n v="0.24837198319632048"/>
    <m/>
    <n v="0"/>
    <n v="0"/>
    <n v="0"/>
    <n v="0"/>
    <n v="3.0013228066548048E-2"/>
    <n v="7.6758104732480154E-3"/>
    <n v="0"/>
    <n v="0"/>
    <m/>
    <m/>
    <m/>
    <n v="-25.281049179678501"/>
    <n v="0"/>
    <n v="0"/>
    <n v="10.979000000000006"/>
    <n v="-2.718"/>
    <n v="0"/>
    <n v="0"/>
    <n v="11.09262425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8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3.0870000000000002"/>
    <n v="3.0870000000000002"/>
    <n v="3.0870000000000002"/>
    <n v="3.0870000000000002"/>
    <m/>
    <n v="415.98"/>
    <n v="215.17"/>
    <m/>
    <n v="1948.3600500000002"/>
    <n v="1948.3600500000002"/>
    <n v="1693.3429799999999"/>
    <n v="0"/>
    <n v="188.5743283167559"/>
    <n v="0"/>
    <n v="0"/>
    <n v="0"/>
    <n v="275.71718744954342"/>
    <n v="780.42598817667533"/>
    <n v="650.6221013238486"/>
    <n v="13.604330080773414"/>
    <n v="0"/>
    <n v="0"/>
    <n v="0"/>
    <n v="0"/>
    <n v="29.13957090526392"/>
    <m/>
    <n v="3.6346260171803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430219349303892"/>
    <n v="0"/>
    <n v="0"/>
    <n v="0"/>
    <n v="2979.09"/>
    <n v="21"/>
    <m/>
    <m/>
    <m/>
    <m/>
    <m/>
    <n v="203.18633999999997"/>
    <m/>
    <m/>
    <m/>
    <n v="657.265123258779"/>
    <m/>
    <m/>
    <m/>
    <m/>
    <m/>
    <m/>
    <m/>
    <m/>
    <m/>
    <m/>
    <m/>
    <m/>
    <n v="1491.6048000000001"/>
    <n v="-222.97586999999999"/>
    <m/>
    <m/>
    <m/>
    <m/>
    <n v="-338.92173000000008"/>
    <n v="83.904660000000021"/>
    <n v="30"/>
    <n v="87.40498996021347"/>
    <n v="0"/>
    <n v="0"/>
    <n v="0"/>
    <n v="0"/>
    <n v="0"/>
    <n v="0"/>
    <n v="0"/>
    <n v="11.475950953604467"/>
    <n v="0"/>
    <n v="0"/>
    <n v="83.903070439357634"/>
    <n v="0"/>
    <n v="0"/>
    <n v="0"/>
    <n v="0.85667230824555141"/>
    <n v="0"/>
    <n v="-7.6672431212703884"/>
    <m/>
    <n v="0"/>
    <n v="0"/>
    <n v="0"/>
    <n v="0"/>
    <n v="-0.9265083504143341"/>
    <n v="-0.23695226930916613"/>
    <n v="0"/>
    <n v="0"/>
    <m/>
    <m/>
    <m/>
    <n v="780.42598817667533"/>
    <n v="0"/>
    <n v="0"/>
    <n v="-338.92173000000014"/>
    <n v="83.904660000000035"/>
    <n v="0"/>
    <n v="0"/>
    <n v="-342.42931080395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89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31.946999999999999"/>
    <n v="31.946999999999999"/>
    <n v="31.946999999999999"/>
    <n v="31.946999999999999"/>
    <m/>
    <n v="415.98"/>
    <n v="215.17"/>
    <m/>
    <n v="20163.349050000001"/>
    <n v="20163.349050000001"/>
    <n v="17524.20738"/>
    <n v="0"/>
    <n v="1951.5335493149985"/>
    <n v="0"/>
    <n v="0"/>
    <n v="0"/>
    <n v="2853.3647513607266"/>
    <n v="8076.5367814318897"/>
    <n v="6733.2116200171649"/>
    <n v="140.78961227420416"/>
    <n v="0"/>
    <n v="0"/>
    <n v="0"/>
    <n v="0"/>
    <n v="301.56199277954858"/>
    <m/>
    <n v="37.614317256514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747852852355393"/>
    <n v="0"/>
    <n v="0"/>
    <n v="0"/>
    <n v="5926.43"/>
    <n v="50"/>
    <m/>
    <m/>
    <m/>
    <m/>
    <m/>
    <m/>
    <m/>
    <m/>
    <m/>
    <n v="6801.9594728695201"/>
    <m/>
    <m/>
    <m/>
    <m/>
    <m/>
    <m/>
    <m/>
    <m/>
    <m/>
    <m/>
    <m/>
    <m/>
    <n v="17525.852999999999"/>
    <n v="-2637.5260500000004"/>
    <m/>
    <m/>
    <m/>
    <m/>
    <n v="-3507.4611300000006"/>
    <n v="868.31946000000016"/>
    <n v="30"/>
    <n v="904.54396315482336"/>
    <n v="0"/>
    <n v="0"/>
    <n v="0"/>
    <n v="0"/>
    <n v="0"/>
    <n v="0"/>
    <n v="0"/>
    <n v="118.76326696300657"/>
    <n v="0"/>
    <n v="0"/>
    <n v="868.30300982382869"/>
    <n v="0"/>
    <n v="0"/>
    <n v="0"/>
    <n v="8.8656009820280701"/>
    <n v="0"/>
    <n v="-79.3473974717283"/>
    <m/>
    <n v="0"/>
    <n v="0"/>
    <n v="0"/>
    <n v="0"/>
    <n v="-9.5883259704201009"/>
    <n v="-2.4521911718885363"/>
    <n v="0"/>
    <n v="0"/>
    <m/>
    <m/>
    <m/>
    <n v="8076.5367814318897"/>
    <n v="0"/>
    <n v="0"/>
    <n v="-3507.4611300000015"/>
    <n v="868.31946000000062"/>
    <n v="0"/>
    <n v="0"/>
    <n v="-3543.760671284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0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100.651"/>
    <n v="100.651"/>
    <n v="100.651"/>
    <n v="100.651"/>
    <m/>
    <n v="228.79"/>
    <n v="118.34"/>
    <m/>
    <n v="34938.981629999995"/>
    <n v="34938.981629999995"/>
    <n v="30365.40019"/>
    <n v="0"/>
    <n v="3381.6349516279138"/>
    <n v="0"/>
    <n v="0"/>
    <n v="0"/>
    <n v="4944.336199770396"/>
    <n v="13995.095845411039"/>
    <n v="11667.369878908488"/>
    <n v="243.96151112016847"/>
    <n v="0"/>
    <n v="0"/>
    <n v="0"/>
    <n v="0"/>
    <n v="522.54934342473166"/>
    <m/>
    <n v="65.178428503521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12690004048309"/>
    <n v="0"/>
    <n v="0"/>
    <n v="0"/>
    <n v="13688.6"/>
    <n v="87"/>
    <m/>
    <m/>
    <m/>
    <m/>
    <m/>
    <m/>
    <m/>
    <m/>
    <m/>
    <n v="11786.496778948971"/>
    <m/>
    <m/>
    <m/>
    <m/>
    <m/>
    <m/>
    <m/>
    <m/>
    <m/>
    <m/>
    <m/>
    <m/>
    <n v="30365.0985"/>
    <n v="-4573.9131300000008"/>
    <m/>
    <m/>
    <m/>
    <m/>
    <n v="-6078.3138899999985"/>
    <n v="1504.7324499999988"/>
    <n v="30"/>
    <n v="1567.4019450816995"/>
    <n v="0"/>
    <n v="0"/>
    <n v="0"/>
    <n v="0"/>
    <n v="0"/>
    <n v="0"/>
    <n v="0"/>
    <n v="205.79406112315064"/>
    <n v="0"/>
    <n v="0"/>
    <n v="1504.6032939862907"/>
    <n v="0"/>
    <n v="0"/>
    <n v="0"/>
    <n v="15.362393415443961"/>
    <n v="0"/>
    <n v="-137.49388664380467"/>
    <m/>
    <n v="0"/>
    <n v="0"/>
    <n v="0"/>
    <n v="0"/>
    <n v="-16.61473779969441"/>
    <n v="-4.2491789996860732"/>
    <n v="0"/>
    <n v="0"/>
    <m/>
    <m/>
    <m/>
    <n v="13995.095845411039"/>
    <n v="0"/>
    <n v="0"/>
    <n v="-6078.3138899999976"/>
    <n v="1504.7324499999995"/>
    <n v="0"/>
    <n v="0"/>
    <n v="-6140.66048232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1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9.263999999999999"/>
    <n v="18.108160000000002"/>
    <n v="19.263999999999999"/>
    <n v="18.108160000000002"/>
    <m/>
    <n v="415.98"/>
    <n v="215.17"/>
    <m/>
    <n v="12158.473599999999"/>
    <n v="12158.473599999999"/>
    <n v="10567.074560000001"/>
    <n v="0"/>
    <n v="1176.7722256864222"/>
    <n v="0"/>
    <n v="0"/>
    <n v="0"/>
    <n v="1720.5752831318443"/>
    <n v="4870.1413139732658"/>
    <n v="4060.1179656309096"/>
    <n v="84.895955515393268"/>
    <n v="0"/>
    <n v="0"/>
    <n v="0"/>
    <n v="0"/>
    <n v="181.84149462876712"/>
    <m/>
    <n v="22.681385032381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45486704065403"/>
    <n v="0"/>
    <n v="0"/>
    <n v="0"/>
    <n v="4423.3599999999997"/>
    <n v="4"/>
    <m/>
    <m/>
    <m/>
    <m/>
    <n v="634.02447359999883"/>
    <m/>
    <m/>
    <m/>
    <m/>
    <n v="4101.5728326715634"/>
    <m/>
    <m/>
    <m/>
    <m/>
    <m/>
    <m/>
    <m/>
    <m/>
    <m/>
    <m/>
    <m/>
    <m/>
    <n v="9934.0593999999983"/>
    <n v="-1494.935784000003"/>
    <m/>
    <m/>
    <m/>
    <m/>
    <n v="-2114.9945600000005"/>
    <n v="523.59552000000008"/>
    <n v="30"/>
    <n v="545.43884891271773"/>
    <n v="0"/>
    <n v="0"/>
    <n v="0"/>
    <n v="0"/>
    <n v="0"/>
    <n v="0"/>
    <n v="0"/>
    <n v="71.614097560815253"/>
    <n v="0"/>
    <n v="0"/>
    <n v="523.58560056488022"/>
    <n v="0"/>
    <n v="0"/>
    <n v="0"/>
    <n v="5.3459460142670281"/>
    <n v="0"/>
    <n v="-47.846378842938975"/>
    <m/>
    <n v="0"/>
    <n v="0"/>
    <n v="0"/>
    <n v="0"/>
    <n v="-5.7817482547397958"/>
    <n v="-1.478668129566497"/>
    <n v="0"/>
    <n v="0"/>
    <m/>
    <m/>
    <m/>
    <n v="4870.1413139732658"/>
    <n v="0"/>
    <n v="0"/>
    <n v="-2114.9945600000001"/>
    <n v="523.59552000000076"/>
    <n v="0"/>
    <n v="0"/>
    <n v="-2136.8831368083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2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2.4729999999999999"/>
    <n v="2.4729999999999999"/>
    <n v="2.4729999999999999"/>
    <n v="2.4729999999999999"/>
    <m/>
    <n v="415.98"/>
    <n v="215.17"/>
    <m/>
    <n v="1560.83395"/>
    <n v="1560.83395"/>
    <n v="1356.5394200000001"/>
    <n v="0"/>
    <n v="151.06715708692494"/>
    <n v="0"/>
    <n v="0"/>
    <n v="0"/>
    <n v="220.87742292281203"/>
    <n v="625.20034621344928"/>
    <n v="521.21427164686668"/>
    <n v="10.898447777697651"/>
    <n v="0"/>
    <n v="0"/>
    <n v="0"/>
    <n v="0"/>
    <n v="23.34375084182626"/>
    <m/>
    <n v="2.91170396517233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32173412539127"/>
    <n v="0"/>
    <n v="0"/>
    <n v="0"/>
    <n v="555.02"/>
    <n v="1"/>
    <m/>
    <m/>
    <m/>
    <m/>
    <m/>
    <m/>
    <m/>
    <m/>
    <m/>
    <n v="526.53600577225791"/>
    <m/>
    <m/>
    <m/>
    <m/>
    <m/>
    <m/>
    <m/>
    <m/>
    <m/>
    <m/>
    <m/>
    <m/>
    <n v="1354.8938000000001"/>
    <n v="-205.97014999999988"/>
    <m/>
    <m/>
    <m/>
    <m/>
    <n v="-271.51067000000006"/>
    <n v="67.21614000000001"/>
    <n v="30"/>
    <n v="70.020259206870378"/>
    <n v="0"/>
    <n v="0"/>
    <n v="0"/>
    <n v="0"/>
    <n v="0"/>
    <n v="0"/>
    <n v="0"/>
    <n v="9.1934002942221866"/>
    <n v="0"/>
    <n v="0"/>
    <n v="67.214866600755158"/>
    <n v="0"/>
    <n v="0"/>
    <n v="0"/>
    <n v="0.68628137942703216"/>
    <n v="0"/>
    <n v="-6.1422391444449715"/>
    <m/>
    <n v="0"/>
    <n v="0"/>
    <n v="0"/>
    <n v="0"/>
    <n v="-0.74222713008573038"/>
    <n v="-0.18982279300342331"/>
    <n v="0"/>
    <n v="0"/>
    <m/>
    <m/>
    <m/>
    <n v="625.20034621344928"/>
    <n v="0"/>
    <n v="0"/>
    <n v="-271.51067000000012"/>
    <n v="67.216140000000109"/>
    <n v="0"/>
    <n v="0"/>
    <n v="-274.32059786789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3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3.82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94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91.2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95"/>
    <s v="Regular"/>
    <s v="Convencional"/>
    <s v="B2"/>
    <s v="Rural"/>
    <s v="Agropecuária rural"/>
    <s v="IRRIG./AQUIC."/>
    <s v="Não se aplica"/>
    <s v="Não se aplica"/>
    <s v="CATIVO"/>
    <x v="7"/>
    <n v="0"/>
    <n v="0"/>
    <n v="0.86"/>
    <n v="0.86"/>
    <n v="0.86"/>
    <n v="0.86"/>
    <m/>
    <n v="415.98"/>
    <n v="215.17"/>
    <m/>
    <n v="542.78899999999999"/>
    <n v="542.78899999999999"/>
    <n v="471.74439999999998"/>
    <n v="0"/>
    <n v="52.534474361000996"/>
    <n v="0"/>
    <n v="0"/>
    <n v="0"/>
    <n v="76.811396568385916"/>
    <n v="217.41702294523509"/>
    <n v="181.25526632280847"/>
    <n v="3.7899980140800564"/>
    <n v="0"/>
    <n v="0"/>
    <n v="0"/>
    <n v="0"/>
    <n v="8.1179238673556746"/>
    <m/>
    <n v="1.0125618318027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506637071720551"/>
    <n v="0"/>
    <n v="0"/>
    <n v="0"/>
    <n v="0"/>
    <n v="0"/>
    <m/>
    <m/>
    <m/>
    <m/>
    <m/>
    <n v="56.605199999999996"/>
    <m/>
    <m/>
    <m/>
    <n v="183.10593002998053"/>
    <m/>
    <m/>
    <m/>
    <m/>
    <m/>
    <m/>
    <m/>
    <m/>
    <m/>
    <m/>
    <m/>
    <m/>
    <n v="415.13919999999996"/>
    <n v="-62.54340000000002"/>
    <m/>
    <m/>
    <m/>
    <m/>
    <n v="-94.41940000000001"/>
    <n v="23.374800000000004"/>
    <n v="30"/>
    <n v="24.349948612174842"/>
    <n v="0"/>
    <n v="0"/>
    <n v="0"/>
    <n v="0"/>
    <n v="0"/>
    <n v="0"/>
    <n v="0"/>
    <n v="3.1970579268220973"/>
    <n v="0"/>
    <n v="0"/>
    <n v="23.374357168075022"/>
    <n v="0"/>
    <n v="0"/>
    <n v="0"/>
    <n v="0.23865830420834921"/>
    <n v="0"/>
    <n v="-2.1359990554883552"/>
    <m/>
    <n v="0"/>
    <n v="0"/>
    <n v="0"/>
    <n v="0"/>
    <n v="-0.25811376137231168"/>
    <n v="-6.6011970069932757E-2"/>
    <n v="0"/>
    <n v="0"/>
    <m/>
    <m/>
    <m/>
    <n v="217.41702294523509"/>
    <n v="0"/>
    <n v="0"/>
    <n v="-94.419399999999996"/>
    <n v="23.374799999999993"/>
    <n v="0"/>
    <n v="0"/>
    <n v="-95.396568607516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6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-0.65700000000000003"/>
    <n v="-0.65700000000000003"/>
    <n v="-0.65700000000000003"/>
    <n v="-0.65700000000000003"/>
    <m/>
    <n v="415.98"/>
    <n v="215.17"/>
    <m/>
    <n v="-414.66555000000005"/>
    <n v="-414.66555000000005"/>
    <n v="-360.39078000000001"/>
    <n v="0"/>
    <n v="-40.133894947880997"/>
    <n v="0"/>
    <n v="0"/>
    <n v="0"/>
    <n v="-58.680334355150634"/>
    <n v="-166.09649311048776"/>
    <n v="-138.4705929931223"/>
    <n v="-2.8953822037797643"/>
    <n v="0"/>
    <n v="0"/>
    <n v="0"/>
    <n v="0"/>
    <n v="-6.2017162568054403"/>
    <m/>
    <n v="-0.77355014359814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4138209948977212"/>
    <n v="0"/>
    <n v="0"/>
    <n v="0"/>
    <n v="0"/>
    <n v="0"/>
    <m/>
    <m/>
    <m/>
    <m/>
    <m/>
    <n v="-43.243739999999995"/>
    <m/>
    <m/>
    <m/>
    <n v="-139.88441398802001"/>
    <m/>
    <m/>
    <m/>
    <m/>
    <m/>
    <m/>
    <m/>
    <m/>
    <m/>
    <m/>
    <m/>
    <m/>
    <n v="-318.59519999999998"/>
    <n v="46.279170000000079"/>
    <m/>
    <m/>
    <m/>
    <m/>
    <n v="72.132030000000015"/>
    <n v="-17.857260000000004"/>
    <n v="30"/>
    <n v="-18.602228183952093"/>
    <n v="0"/>
    <n v="0"/>
    <n v="0"/>
    <n v="0"/>
    <n v="0"/>
    <n v="0"/>
    <n v="0"/>
    <n v="-2.4424035557234021"/>
    <n v="0"/>
    <n v="0"/>
    <n v="-17.856921697006129"/>
    <n v="0"/>
    <n v="0"/>
    <n v="0"/>
    <n v="-0.18232384402893675"/>
    <n v="0"/>
    <n v="1.6318039295998261"/>
    <m/>
    <n v="0"/>
    <n v="0"/>
    <n v="0"/>
    <n v="0"/>
    <n v="0.19718690839721997"/>
    <n v="5.0430074809239445E-2"/>
    <n v="0"/>
    <n v="0"/>
    <m/>
    <m/>
    <m/>
    <n v="-166.09649311048776"/>
    <n v="0"/>
    <n v="0"/>
    <n v="72.132030000000043"/>
    <n v="-17.857259999999997"/>
    <n v="0"/>
    <n v="0"/>
    <n v="72.8785413664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7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0.65500000000000003"/>
    <n v="0.26200000000000001"/>
    <n v="0.65500000000000003"/>
    <n v="0.26200000000000001"/>
    <m/>
    <n v="415.98"/>
    <n v="215.17"/>
    <m/>
    <n v="413.40325000000001"/>
    <n v="413.40325000000001"/>
    <n v="359.2937"/>
    <n v="0"/>
    <n v="40.011721751692619"/>
    <n v="0"/>
    <n v="0"/>
    <n v="0"/>
    <n v="58.501703200340437"/>
    <n v="165.59087212689417"/>
    <n v="138.04906911795297"/>
    <n v="2.8865682549098106"/>
    <n v="0"/>
    <n v="0"/>
    <n v="0"/>
    <n v="0"/>
    <n v="6.18283736409066"/>
    <m/>
    <n v="0.77119534864046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095171258112746"/>
    <n v="0"/>
    <n v="0"/>
    <n v="0"/>
    <n v="0"/>
    <n v="0"/>
    <m/>
    <m/>
    <m/>
    <m/>
    <m/>
    <m/>
    <n v="232.82105999999999"/>
    <m/>
    <m/>
    <n v="139.45858624376424"/>
    <m/>
    <m/>
    <m/>
    <m/>
    <m/>
    <m/>
    <m/>
    <m/>
    <m/>
    <m/>
    <m/>
    <m/>
    <n v="125.50720000000001"/>
    <n v="-20.040219999999977"/>
    <m/>
    <m/>
    <m/>
    <m/>
    <n v="-71.912450000000021"/>
    <n v="17.802900000000005"/>
    <n v="30"/>
    <n v="18.54560039648203"/>
    <n v="0"/>
    <n v="0"/>
    <n v="0"/>
    <n v="0"/>
    <n v="0"/>
    <n v="0"/>
    <n v="0"/>
    <n v="2.4349685372889311"/>
    <n v="0"/>
    <n v="0"/>
    <n v="17.802562726847839"/>
    <n v="0"/>
    <n v="0"/>
    <n v="0"/>
    <n v="0.18176882471682432"/>
    <n v="0"/>
    <n v="-1.6268364899358971"/>
    <m/>
    <n v="0"/>
    <n v="0"/>
    <n v="0"/>
    <n v="0"/>
    <n v="-0.19658664383588942"/>
    <n v="-5.0276558599774424E-2"/>
    <n v="0"/>
    <n v="0"/>
    <m/>
    <m/>
    <m/>
    <n v="165.59087212689417"/>
    <n v="0"/>
    <n v="0"/>
    <n v="-71.912450000000007"/>
    <n v="17.802899999999994"/>
    <n v="0"/>
    <n v="0"/>
    <n v="-72.65668888130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298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85.1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299"/>
    <s v="Regular"/>
    <s v="Convencional"/>
    <s v="B2"/>
    <s v="Rural"/>
    <s v="Aquicultura"/>
    <s v="IRRIG./AQUIC."/>
    <s v="Não se aplica"/>
    <s v="Não se aplica"/>
    <s v="CATIVO"/>
    <x v="7"/>
    <n v="0"/>
    <n v="0"/>
    <n v="1.05"/>
    <n v="1.05"/>
    <n v="1.05"/>
    <n v="1.05"/>
    <m/>
    <n v="415.98"/>
    <n v="215.17"/>
    <m/>
    <n v="662.70749999999998"/>
    <n v="662.70749999999998"/>
    <n v="575.96699999999998"/>
    <n v="0"/>
    <n v="64.140927998896572"/>
    <n v="0"/>
    <n v="0"/>
    <n v="0"/>
    <n v="93.781356275354895"/>
    <n v="265.45101638662425"/>
    <n v="221.30003446389406"/>
    <n v="4.6273231567256508"/>
    <n v="0"/>
    <n v="0"/>
    <n v="0"/>
    <n v="0"/>
    <n v="9.9114186752598368"/>
    <m/>
    <n v="1.2362673527824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595312703844859"/>
    <n v="0"/>
    <n v="0"/>
    <n v="0"/>
    <n v="0"/>
    <n v="0"/>
    <m/>
    <m/>
    <m/>
    <m/>
    <m/>
    <n v="69.11099999999999"/>
    <m/>
    <m/>
    <m/>
    <n v="223.55956573427855"/>
    <m/>
    <m/>
    <m/>
    <m/>
    <m/>
    <m/>
    <m/>
    <m/>
    <m/>
    <m/>
    <m/>
    <m/>
    <n v="506.85599999999999"/>
    <n v="-76.354499999999916"/>
    <m/>
    <m/>
    <m/>
    <m/>
    <n v="-115.27950000000003"/>
    <n v="28.539000000000009"/>
    <n v="30"/>
    <n v="29.729588421841413"/>
    <n v="0"/>
    <n v="0"/>
    <n v="0"/>
    <n v="0"/>
    <n v="0"/>
    <n v="0"/>
    <n v="0"/>
    <n v="3.9033846780967565"/>
    <n v="0"/>
    <n v="0"/>
    <n v="28.538459333114844"/>
    <n v="0"/>
    <n v="0"/>
    <n v="0"/>
    <n v="0.29138513885903139"/>
    <n v="0"/>
    <n v="-2.6079058235613672"/>
    <m/>
    <n v="0"/>
    <n v="0"/>
    <n v="0"/>
    <n v="0"/>
    <n v="-0.31513889469875345"/>
    <n v="-8.0596009969104099E-2"/>
    <n v="0"/>
    <n v="0"/>
    <m/>
    <m/>
    <m/>
    <n v="265.45101638662425"/>
    <n v="0"/>
    <n v="0"/>
    <n v="-115.27950000000004"/>
    <n v="28.539000000000016"/>
    <n v="0"/>
    <n v="0"/>
    <n v="-116.47255469522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0"/>
    <s v="Regular"/>
    <s v="Convencional"/>
    <s v="B2"/>
    <s v="Rural"/>
    <s v="Aquicultura"/>
    <s v="IRRIG./AQUIC. PR"/>
    <s v="Não se aplica"/>
    <s v="Não se aplica"/>
    <s v="CATIVO"/>
    <x v="7"/>
    <n v="0"/>
    <n v="0"/>
    <n v="2.88"/>
    <n v="1.1519999999999999"/>
    <n v="2.88"/>
    <n v="1.1519999999999999"/>
    <m/>
    <n v="415.98"/>
    <n v="215.17"/>
    <m/>
    <n v="1817.712"/>
    <n v="1817.712"/>
    <n v="1579.7952"/>
    <n v="0"/>
    <n v="175.92940251125913"/>
    <n v="0"/>
    <n v="0"/>
    <n v="0"/>
    <n v="257.22886292668773"/>
    <n v="728.09421637474077"/>
    <n v="606.99438024382368"/>
    <n v="12.692086372733213"/>
    <n v="0"/>
    <n v="0"/>
    <n v="0"/>
    <n v="0"/>
    <n v="27.18560550928412"/>
    <m/>
    <n v="3.3909047390603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975714844831611"/>
    <n v="0"/>
    <n v="0"/>
    <n v="0"/>
    <n v="0"/>
    <n v="0"/>
    <m/>
    <m/>
    <m/>
    <m/>
    <m/>
    <m/>
    <n v="1023.7017599999999"/>
    <m/>
    <m/>
    <n v="613.19195172830689"/>
    <m/>
    <m/>
    <m/>
    <m/>
    <m/>
    <m/>
    <m/>
    <m/>
    <m/>
    <m/>
    <m/>
    <m/>
    <n v="555.12799999999993"/>
    <n v="-84.734320000000025"/>
    <m/>
    <m/>
    <m/>
    <m/>
    <n v="-316.19520000000006"/>
    <n v="78.278400000000019"/>
    <n v="30"/>
    <n v="81.544013957050538"/>
    <n v="0"/>
    <n v="0"/>
    <n v="0"/>
    <n v="0"/>
    <n v="0"/>
    <n v="0"/>
    <n v="0"/>
    <n v="10.706426545636816"/>
    <n v="0"/>
    <n v="0"/>
    <n v="78.276917027972104"/>
    <n v="0"/>
    <n v="0"/>
    <n v="0"/>
    <n v="0.79922780944191452"/>
    <n v="0"/>
    <n v="-7.1531131160540156"/>
    <m/>
    <n v="0"/>
    <n v="0"/>
    <n v="0"/>
    <n v="0"/>
    <n v="-0.86438096831658129"/>
    <n v="-0.22106334162954289"/>
    <n v="0"/>
    <n v="0"/>
    <m/>
    <m/>
    <m/>
    <n v="728.09421637474077"/>
    <n v="0"/>
    <n v="0"/>
    <n v="-316.19520000000011"/>
    <n v="78.278400000000033"/>
    <n v="0"/>
    <n v="0"/>
    <n v="-319.46757859261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1"/>
    <s v="Regular"/>
    <s v="Convencional"/>
    <s v="B1"/>
    <s v="Residencial"/>
    <s v="Residencial"/>
    <s v="Não se aplica"/>
    <s v="Não se aplica"/>
    <s v="Não se aplica"/>
    <s v="CATIVO"/>
    <x v="8"/>
    <n v="0"/>
    <n v="0"/>
    <n v="422.15100000000001"/>
    <n v="422.15100000000001"/>
    <n v="422.15100000000001"/>
    <n v="422.15100000000001"/>
    <m/>
    <n v="415.98"/>
    <n v="215.17"/>
    <m/>
    <n v="266440.60365"/>
    <n v="266440.60365"/>
    <n v="231566.70954000001"/>
    <n v="0"/>
    <n v="25787.768472059222"/>
    <n v="0"/>
    <n v="0"/>
    <n v="0"/>
    <n v="37704.660317140326"/>
    <n v="106724.20192250458"/>
    <n v="88973.362713302238"/>
    <n v="1860.4086646998953"/>
    <n v="0"/>
    <n v="0"/>
    <n v="0"/>
    <n v="0"/>
    <n v="3984.8717192186814"/>
    <m/>
    <n v="497.03952308995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8.44131935626774"/>
    <n v="0"/>
    <n v="0"/>
    <n v="0"/>
    <n v="43056.75"/>
    <n v="2808"/>
    <m/>
    <m/>
    <m/>
    <m/>
    <m/>
    <m/>
    <m/>
    <m/>
    <m/>
    <n v="89881.804032658503"/>
    <m/>
    <m/>
    <m/>
    <m/>
    <m/>
    <m/>
    <m/>
    <m/>
    <m/>
    <m/>
    <m/>
    <m/>
    <n v="231566.16099999996"/>
    <n v="-34874.472650000069"/>
    <m/>
    <m/>
    <m/>
    <m/>
    <n v="-46347.95829000001"/>
    <n v="11474.064180000003"/>
    <n v="31"/>
    <n v="11952.738554160751"/>
    <n v="0"/>
    <n v="0"/>
    <n v="0"/>
    <n v="0"/>
    <n v="0"/>
    <n v="0"/>
    <n v="0"/>
    <n v="1569.3502335649755"/>
    <n v="0"/>
    <n v="0"/>
    <n v="11473.846805651192"/>
    <n v="0"/>
    <n v="0"/>
    <n v="0"/>
    <n v="117.15097881378938"/>
    <n v="0"/>
    <n v="-1048.5048107830953"/>
    <m/>
    <n v="0"/>
    <n v="0"/>
    <n v="0"/>
    <n v="0"/>
    <n v="-126.70114241521333"/>
    <n v="-32.403510670921207"/>
    <n v="0"/>
    <n v="0"/>
    <m/>
    <m/>
    <m/>
    <n v="106724.20192250458"/>
    <n v="0"/>
    <n v="0"/>
    <n v="-46347.95829000001"/>
    <n v="11474.064180000016"/>
    <n v="0"/>
    <n v="0"/>
    <n v="-46827.62422585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2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97599999999999998"/>
    <n v="-0.97599999999999998"/>
    <n v="-0.97599999999999998"/>
    <n v="-0.97599999999999998"/>
    <m/>
    <n v="415.98"/>
    <n v="215.17"/>
    <m/>
    <n v="-616.00239999999997"/>
    <n v="-616.00239999999997"/>
    <n v="-535.3750399999999"/>
    <n v="0"/>
    <n v="-59.620519739926706"/>
    <n v="0"/>
    <n v="0"/>
    <n v="0"/>
    <n v="-87.1720035473775"/>
    <n v="-246.74303999366214"/>
    <n v="-205.70365108262914"/>
    <n v="-4.3012070485373668"/>
    <n v="0"/>
    <n v="0"/>
    <n v="0"/>
    <n v="0"/>
    <n v="-9.2128996448129516"/>
    <m/>
    <n v="-1.1491399393482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1002881141859602"/>
    <n v="0"/>
    <n v="0"/>
    <n v="0"/>
    <n v="-200.1"/>
    <n v="0"/>
    <m/>
    <m/>
    <m/>
    <m/>
    <m/>
    <m/>
    <m/>
    <m/>
    <m/>
    <n v="-207.80393919681509"/>
    <m/>
    <m/>
    <m/>
    <m/>
    <m/>
    <m/>
    <m/>
    <m/>
    <m/>
    <m/>
    <m/>
    <m/>
    <n v="-537.56919999999991"/>
    <n v="78.403200000000083"/>
    <m/>
    <m/>
    <m/>
    <m/>
    <n v="107.15504000000001"/>
    <n v="-26.527680000000007"/>
    <n v="31"/>
    <n v="-27.634360285444927"/>
    <n v="0"/>
    <n v="0"/>
    <n v="0"/>
    <n v="0"/>
    <n v="0"/>
    <n v="0"/>
    <n v="0"/>
    <n v="-3.628288996021368"/>
    <n v="0"/>
    <n v="0"/>
    <n v="-26.527177437257222"/>
    <n v="0"/>
    <n v="0"/>
    <n v="0"/>
    <n v="-0.270849424310871"/>
    <n v="0"/>
    <n v="2.4241105559960801"/>
    <m/>
    <n v="0"/>
    <n v="0"/>
    <n v="0"/>
    <n v="0"/>
    <n v="0.29292910592950783"/>
    <n v="7.4915910218900761E-2"/>
    <n v="0"/>
    <n v="0"/>
    <m/>
    <m/>
    <m/>
    <n v="-246.74303999366214"/>
    <n v="0"/>
    <n v="0"/>
    <n v="107.15504000000004"/>
    <n v="-26.527680000000004"/>
    <n v="0"/>
    <n v="0"/>
    <n v="108.26401274527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3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2.1309999999999998"/>
    <n v="2.1309999999999998"/>
    <n v="2.1309999999999998"/>
    <n v="2.1309999999999998"/>
    <m/>
    <n v="415.98"/>
    <n v="215.17"/>
    <m/>
    <n v="1344.98065"/>
    <n v="1344.98065"/>
    <n v="1168.9387399999998"/>
    <n v="0"/>
    <n v="130.17554053871291"/>
    <n v="0"/>
    <n v="0"/>
    <n v="0"/>
    <n v="190.33149545026788"/>
    <n v="538.73915801894873"/>
    <n v="449.1336889929126"/>
    <n v="9.391262520935582"/>
    <n v="0"/>
    <n v="0"/>
    <n v="0"/>
    <n v="0"/>
    <n v="20.115460187598771"/>
    <m/>
    <n v="2.5090340274089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857725116088943"/>
    <n v="0"/>
    <n v="0"/>
    <n v="0"/>
    <n v="680.92"/>
    <n v="20"/>
    <m/>
    <m/>
    <m/>
    <m/>
    <m/>
    <m/>
    <m/>
    <m/>
    <m/>
    <n v="453.71946150452152"/>
    <m/>
    <m/>
    <m/>
    <m/>
    <m/>
    <m/>
    <m/>
    <m/>
    <m/>
    <m/>
    <m/>
    <m/>
    <n v="1168.3901999999998"/>
    <n v="-176.62045000000012"/>
    <m/>
    <m/>
    <m/>
    <m/>
    <n v="-233.96249000000003"/>
    <n v="57.920580000000008"/>
    <n v="31"/>
    <n v="60.336907549470425"/>
    <n v="0"/>
    <n v="0"/>
    <n v="0"/>
    <n v="0"/>
    <n v="0"/>
    <n v="0"/>
    <n v="0"/>
    <n v="7.9220121419277802"/>
    <n v="0"/>
    <n v="0"/>
    <n v="57.919482703683514"/>
    <n v="0"/>
    <n v="0"/>
    <n v="0"/>
    <n v="0.59137307705580522"/>
    <n v="0"/>
    <n v="-5.2928069619135698"/>
    <m/>
    <n v="0"/>
    <n v="0"/>
    <n v="0"/>
    <n v="0"/>
    <n v="-0.63958189009813893"/>
    <n v="-0.16357152118491536"/>
    <n v="0"/>
    <n v="0"/>
    <m/>
    <m/>
    <m/>
    <n v="538.73915801894873"/>
    <n v="0"/>
    <n v="0"/>
    <n v="-233.96249"/>
    <n v="57.920579999999973"/>
    <n v="0"/>
    <n v="0"/>
    <n v="-236.38382291002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4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8.2799999999999994"/>
    <n v="8.2799999999999994"/>
    <n v="8.2799999999999994"/>
    <n v="8.2799999999999994"/>
    <m/>
    <n v="345.46"/>
    <n v="215.17"/>
    <m/>
    <n v="4642.0163999999995"/>
    <n v="4642.0163999999995"/>
    <n v="3981.0239999999994"/>
    <n v="0"/>
    <n v="0"/>
    <n v="0"/>
    <n v="0"/>
    <n v="0"/>
    <n v="739.5329809142271"/>
    <n v="2093.2708720773794"/>
    <n v="1745.1088432009931"/>
    <n v="36.489748321607983"/>
    <n v="0"/>
    <n v="0"/>
    <n v="0"/>
    <n v="0"/>
    <n v="0"/>
    <m/>
    <n v="9.7488511247985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18018017889088"/>
    <n v="0"/>
    <n v="0"/>
    <n v="0"/>
    <n v="187.69"/>
    <n v="13"/>
    <m/>
    <m/>
    <m/>
    <m/>
    <m/>
    <m/>
    <m/>
    <n v="2587.6655999999998"/>
    <m/>
    <n v="1762.9268612188821"/>
    <m/>
    <m/>
    <m/>
    <m/>
    <m/>
    <m/>
    <m/>
    <m/>
    <m/>
    <m/>
    <m/>
    <m/>
    <n v="1393.3583999999998"/>
    <n v="-231.3732"/>
    <m/>
    <m/>
    <m/>
    <m/>
    <n v="-886.04279999999983"/>
    <n v="225.05040000000005"/>
    <n v="31"/>
    <n v="257.48933561908643"/>
    <n v="0"/>
    <n v="0"/>
    <n v="0"/>
    <n v="0"/>
    <n v="0"/>
    <n v="0"/>
    <n v="0"/>
    <n v="30.780976318705825"/>
    <n v="0"/>
    <n v="0"/>
    <n v="225.04613645541986"/>
    <n v="0"/>
    <n v="0"/>
    <n v="0"/>
    <n v="2.297779952145504"/>
    <n v="0"/>
    <n v="0"/>
    <m/>
    <n v="0"/>
    <n v="0"/>
    <n v="0"/>
    <n v="0"/>
    <n v="0"/>
    <n v="-0.63555710718493508"/>
    <n v="0"/>
    <n v="0"/>
    <m/>
    <m/>
    <m/>
    <n v="2093.2708720773794"/>
    <n v="0"/>
    <n v="0"/>
    <n v="-886.04279999999994"/>
    <n v="225.05040000000008"/>
    <n v="0"/>
    <n v="0"/>
    <n v="-918.4692884537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5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6.388000000000002"/>
    <n v="16.388000000000002"/>
    <n v="16.388000000000002"/>
    <n v="16.388000000000002"/>
    <m/>
    <n v="345.46"/>
    <n v="215.17"/>
    <m/>
    <n v="9187.6044399999992"/>
    <n v="9187.6044399999992"/>
    <n v="7879.3504000000003"/>
    <n v="0"/>
    <n v="0"/>
    <n v="0"/>
    <n v="0"/>
    <n v="0"/>
    <n v="1463.7036825147773"/>
    <n v="4143.0583395657131"/>
    <n v="3453.9666331374251"/>
    <n v="72.221497040399967"/>
    <n v="0"/>
    <n v="0"/>
    <n v="0"/>
    <n v="0"/>
    <n v="0"/>
    <m/>
    <n v="19.295189883236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265903294343772"/>
    <n v="0"/>
    <n v="0"/>
    <n v="0"/>
    <n v="644"/>
    <n v="74"/>
    <m/>
    <m/>
    <m/>
    <m/>
    <m/>
    <m/>
    <m/>
    <n v="3151.7401600000003"/>
    <m/>
    <n v="3489.2325364317689"/>
    <m/>
    <m/>
    <m/>
    <m/>
    <m/>
    <m/>
    <m/>
    <m/>
    <m/>
    <m/>
    <m/>
    <m/>
    <n v="4728.1872000000003"/>
    <n v="-784.27436000000125"/>
    <m/>
    <m/>
    <m/>
    <m/>
    <n v="-1753.6798800000001"/>
    <n v="445.42584000000016"/>
    <n v="31"/>
    <n v="509.62985895236397"/>
    <n v="0"/>
    <n v="0"/>
    <n v="0"/>
    <n v="0"/>
    <n v="0"/>
    <n v="0"/>
    <n v="0"/>
    <n v="60.922541052047336"/>
    <n v="0"/>
    <n v="0"/>
    <n v="445.41740147722476"/>
    <n v="0"/>
    <n v="0"/>
    <n v="0"/>
    <n v="4.547828243449338"/>
    <n v="0"/>
    <n v="0"/>
    <m/>
    <n v="0"/>
    <n v="0"/>
    <n v="0"/>
    <n v="0"/>
    <n v="0"/>
    <n v="-1.2579118203558863"/>
    <n v="0"/>
    <n v="0"/>
    <m/>
    <m/>
    <m/>
    <n v="4143.0583395657131"/>
    <n v="0"/>
    <n v="0"/>
    <n v="-1753.6798799999997"/>
    <n v="445.42583999999988"/>
    <n v="0"/>
    <n v="0"/>
    <n v="-1817.8592631860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6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2.88"/>
    <n v="12.88"/>
    <n v="12.88"/>
    <n v="12.88"/>
    <m/>
    <n v="345.46"/>
    <n v="215.17"/>
    <m/>
    <n v="7220.9143999999997"/>
    <n v="7220.9143999999997"/>
    <n v="6192.7039999999997"/>
    <n v="0"/>
    <n v="0"/>
    <n v="0"/>
    <n v="0"/>
    <n v="0"/>
    <n v="1150.3846369776868"/>
    <n v="3256.1991343425907"/>
    <n v="2714.613756090434"/>
    <n v="56.761830722501315"/>
    <n v="0"/>
    <n v="0"/>
    <n v="0"/>
    <n v="0"/>
    <n v="0"/>
    <m/>
    <n v="15.164879527464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716916916716361"/>
    <n v="0"/>
    <n v="0"/>
    <n v="0"/>
    <n v="1203.73"/>
    <n v="152"/>
    <m/>
    <m/>
    <m/>
    <m/>
    <m/>
    <m/>
    <m/>
    <n v="619.39919999999972"/>
    <m/>
    <n v="2742.3306730071504"/>
    <m/>
    <m/>
    <m/>
    <m/>
    <m/>
    <m/>
    <m/>
    <m/>
    <m/>
    <m/>
    <m/>
    <m/>
    <n v="5573.3048000000008"/>
    <n v="-925.45800000000145"/>
    <m/>
    <m/>
    <m/>
    <m/>
    <n v="-1378.2888"/>
    <n v="350.0784000000001"/>
    <n v="31"/>
    <n v="400.53896651857804"/>
    <n v="0"/>
    <n v="0"/>
    <n v="0"/>
    <n v="0"/>
    <n v="0"/>
    <n v="0"/>
    <n v="0"/>
    <n v="47.881518717986864"/>
    <n v="0"/>
    <n v="0"/>
    <n v="350.07176781954195"/>
    <n v="0"/>
    <n v="0"/>
    <n v="0"/>
    <n v="3.574324370004117"/>
    <n v="0"/>
    <n v="0"/>
    <m/>
    <n v="0"/>
    <n v="0"/>
    <n v="0"/>
    <n v="0"/>
    <n v="0"/>
    <n v="-0.98864438895434326"/>
    <n v="0"/>
    <n v="0"/>
    <m/>
    <m/>
    <m/>
    <n v="3256.1991343425907"/>
    <n v="0"/>
    <n v="0"/>
    <n v="-1378.2888000000003"/>
    <n v="350.07840000000033"/>
    <n v="0"/>
    <n v="0"/>
    <n v="-1428.73000426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7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.4380000000000002"/>
    <n v="2.4380000000000002"/>
    <n v="2.4380000000000002"/>
    <n v="2.4380000000000002"/>
    <m/>
    <n v="345.46"/>
    <n v="215.17"/>
    <m/>
    <n v="1366.81594"/>
    <n v="1366.81594"/>
    <n v="1172.1904"/>
    <n v="0"/>
    <n v="0"/>
    <n v="0"/>
    <n v="0"/>
    <n v="0"/>
    <n v="217.75137771363359"/>
    <n v="616.35197900056187"/>
    <n v="513.83760383140361"/>
    <n v="10.744203672473464"/>
    <n v="0"/>
    <n v="0"/>
    <n v="0"/>
    <n v="0"/>
    <n v="0"/>
    <m/>
    <n v="2.8704950534129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464164163784544"/>
    <n v="0"/>
    <n v="0"/>
    <n v="0"/>
    <n v="390.69"/>
    <n v="37"/>
    <m/>
    <m/>
    <m/>
    <m/>
    <m/>
    <m/>
    <m/>
    <m/>
    <m/>
    <n v="519.08402024778206"/>
    <m/>
    <m/>
    <m/>
    <m/>
    <m/>
    <m/>
    <m/>
    <m/>
    <m/>
    <m/>
    <m/>
    <m/>
    <n v="1173.152"/>
    <n v="-193.69393999999988"/>
    <m/>
    <m/>
    <m/>
    <m/>
    <n v="-260.89037999999999"/>
    <n v="66.264840000000021"/>
    <n v="31"/>
    <n v="75.816304376730841"/>
    <n v="0"/>
    <n v="0"/>
    <n v="0"/>
    <n v="0"/>
    <n v="0"/>
    <n v="0"/>
    <n v="0"/>
    <n v="9.0632874716189349"/>
    <n v="0"/>
    <n v="0"/>
    <n v="66.263584622984695"/>
    <n v="0"/>
    <n v="0"/>
    <n v="0"/>
    <n v="0.67656854146506529"/>
    <n v="0"/>
    <n v="0"/>
    <m/>
    <n v="0"/>
    <n v="0"/>
    <n v="0"/>
    <n v="0"/>
    <n v="0"/>
    <n v="-0.18713625933778655"/>
    <n v="0"/>
    <n v="0"/>
    <m/>
    <m/>
    <m/>
    <n v="616.35197900056187"/>
    <n v="0"/>
    <n v="0"/>
    <n v="-260.89038000000005"/>
    <n v="66.264839999999936"/>
    <n v="0"/>
    <n v="0"/>
    <n v="-270.4381793780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8"/>
    <s v="Regular"/>
    <s v="Convencional"/>
    <s v="B3"/>
    <s v="Industrial"/>
    <s v="Não se aplica"/>
    <s v="Não se aplica"/>
    <s v="Não se aplica"/>
    <s v="Não se aplica"/>
    <s v="CATIVO"/>
    <x v="8"/>
    <n v="0"/>
    <n v="0"/>
    <n v="22.984999999999999"/>
    <n v="22.984999999999999"/>
    <n v="22.984999999999999"/>
    <n v="22.984999999999999"/>
    <m/>
    <n v="415.98"/>
    <n v="215.17"/>
    <m/>
    <n v="14506.982749999999"/>
    <n v="14506.982749999999"/>
    <n v="12608.1919"/>
    <n v="0"/>
    <n v="1404.0754571948928"/>
    <n v="0"/>
    <n v="0"/>
    <n v="0"/>
    <n v="2052.9185466562212"/>
    <n v="5810.8491539491024"/>
    <n v="4844.3631353834335"/>
    <n v="101.29430738794197"/>
    <n v="0"/>
    <n v="0"/>
    <n v="0"/>
    <n v="0"/>
    <n v="216.9656745246165"/>
    <m/>
    <n v="27.0624810511468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462215475988003"/>
    <n v="0"/>
    <n v="0"/>
    <n v="0"/>
    <n v="4221.8100000000004"/>
    <n v="40"/>
    <m/>
    <m/>
    <m/>
    <m/>
    <m/>
    <m/>
    <m/>
    <m/>
    <m/>
    <n v="4893.8253508594216"/>
    <m/>
    <m/>
    <m/>
    <m/>
    <m/>
    <m/>
    <m/>
    <m/>
    <m/>
    <m/>
    <m/>
    <m/>
    <n v="12610.934599999999"/>
    <n v="-1896.0781500000012"/>
    <m/>
    <m/>
    <m/>
    <m/>
    <n v="-2523.5231500000004"/>
    <n v="624.73230000000012"/>
    <n v="31"/>
    <n v="650.79484750097618"/>
    <n v="0"/>
    <n v="0"/>
    <n v="0"/>
    <n v="0"/>
    <n v="0"/>
    <n v="0"/>
    <n v="0"/>
    <n v="85.446949358146412"/>
    <n v="0"/>
    <n v="0"/>
    <n v="624.72046454442352"/>
    <n v="0"/>
    <n v="0"/>
    <n v="0"/>
    <n v="6.3785594444522289"/>
    <n v="0"/>
    <n v="-57.088300337674127"/>
    <m/>
    <n v="0"/>
    <n v="0"/>
    <n v="0"/>
    <n v="0"/>
    <n v="-6.8985404710960552"/>
    <n v="-1.7642850372760535"/>
    <n v="0"/>
    <n v="0"/>
    <m/>
    <m/>
    <m/>
    <n v="5810.8491539491024"/>
    <n v="0"/>
    <n v="0"/>
    <n v="-2523.5231500000009"/>
    <n v="624.73230000000058"/>
    <n v="0"/>
    <n v="0"/>
    <n v="-2549.6396853997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0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2.2599999999999998"/>
    <n v="2.2599999999999998"/>
    <n v="2.2599999999999998"/>
    <n v="2.2599999999999998"/>
    <m/>
    <n v="415.98"/>
    <n v="215.17"/>
    <m/>
    <n v="1426.3989999999999"/>
    <n v="1426.3989999999999"/>
    <n v="1239.7003999999997"/>
    <n v="0"/>
    <n v="138.05571169286307"/>
    <n v="0"/>
    <n v="0"/>
    <n v="0"/>
    <n v="201.85320493552575"/>
    <n v="571.35171146073401"/>
    <n v="476.32197894133384"/>
    <n v="9.9597622230475906"/>
    <n v="0"/>
    <n v="0"/>
    <n v="0"/>
    <n v="0"/>
    <n v="21.33314876770212"/>
    <m/>
    <n v="2.6609183021793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633720676847023"/>
    <n v="0"/>
    <n v="0"/>
    <n v="0"/>
    <n v="934.45"/>
    <n v="3"/>
    <m/>
    <m/>
    <m/>
    <m/>
    <m/>
    <m/>
    <m/>
    <m/>
    <m/>
    <n v="481.18535100901852"/>
    <m/>
    <m/>
    <m/>
    <m/>
    <m/>
    <m/>
    <m/>
    <m/>
    <m/>
    <m/>
    <m/>
    <m/>
    <n v="1239.7003999999997"/>
    <n v="-186.72860000000014"/>
    <m/>
    <m/>
    <m/>
    <m/>
    <n v="-248.12540000000001"/>
    <n v="61.426800000000007"/>
    <n v="31"/>
    <n v="63.989399841296745"/>
    <n v="0"/>
    <n v="0"/>
    <n v="0"/>
    <n v="0"/>
    <n v="0"/>
    <n v="0"/>
    <n v="0"/>
    <n v="8.4015708309511297"/>
    <n v="0"/>
    <n v="0"/>
    <n v="61.425636278894842"/>
    <n v="0"/>
    <n v="0"/>
    <n v="0"/>
    <n v="0.62717182268705773"/>
    <n v="0"/>
    <n v="-5.6132068202368259"/>
    <m/>
    <n v="0"/>
    <n v="0"/>
    <n v="0"/>
    <n v="0"/>
    <n v="-0.67829895430398324"/>
    <n v="-0.17347331669540544"/>
    <n v="0"/>
    <n v="0"/>
    <m/>
    <m/>
    <m/>
    <n v="571.35171146073401"/>
    <n v="0"/>
    <n v="0"/>
    <n v="-248.12540000000001"/>
    <n v="61.426799999999957"/>
    <n v="0"/>
    <n v="0"/>
    <n v="-250.69330820114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0"/>
    <s v="Regular"/>
    <s v="Verde"/>
    <s v="A4"/>
    <s v="Industrial"/>
    <s v="Não se aplica"/>
    <s v="Não se aplica"/>
    <s v="Não se aplica"/>
    <s v="Ponta"/>
    <s v="CATIVO"/>
    <x v="8"/>
    <n v="0"/>
    <n v="0"/>
    <n v="136.83500000000001"/>
    <n v="136.83500000000001"/>
    <n v="136.83500000000001"/>
    <n v="136.83500000000001"/>
    <m/>
    <n v="2184.0300000000002"/>
    <n v="215.17"/>
    <m/>
    <n v="328294.53200000001"/>
    <n v="328294.53200000001"/>
    <n v="247724.71565000003"/>
    <n v="0"/>
    <n v="7272.1426456897434"/>
    <n v="0"/>
    <n v="0"/>
    <n v="0"/>
    <n v="90173.480409065189"/>
    <n v="199906.09329046565"/>
    <n v="28839.609729397092"/>
    <n v="603.02834681005186"/>
    <n v="0"/>
    <n v="0"/>
    <n v="0"/>
    <n v="0"/>
    <n v="1291.6466423135046"/>
    <m/>
    <n v="94.398723531838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68950743381001"/>
    <n v="0"/>
    <n v="0"/>
    <n v="0"/>
    <n v="0"/>
    <n v="0"/>
    <m/>
    <m/>
    <m/>
    <m/>
    <m/>
    <m/>
    <m/>
    <m/>
    <m/>
    <n v="28953.299236830902"/>
    <m/>
    <m/>
    <m/>
    <m/>
    <m/>
    <m/>
    <m/>
    <m/>
    <m/>
    <m/>
    <m/>
    <m/>
    <n v="247733.76759999999"/>
    <n v="-80560.794400000043"/>
    <m/>
    <m/>
    <m/>
    <m/>
    <n v="-84288.99165000004"/>
    <n v="3719.1753000000012"/>
    <n v="31"/>
    <n v="7144.0822820505273"/>
    <n v="0"/>
    <n v="0"/>
    <n v="0"/>
    <n v="0"/>
    <n v="0"/>
    <n v="0"/>
    <n v="0"/>
    <n v="3753.2170121952076"/>
    <n v="0"/>
    <n v="0"/>
    <n v="3719.1048408064453"/>
    <n v="0"/>
    <n v="0"/>
    <n v="0"/>
    <n v="14.661196923722542"/>
    <n v="0"/>
    <n v="-295.67802878980456"/>
    <m/>
    <n v="0"/>
    <n v="0"/>
    <n v="0"/>
    <n v="0"/>
    <n v="-41.068600624860892"/>
    <n v="-6.1541384601961227"/>
    <n v="0"/>
    <n v="0"/>
    <m/>
    <m/>
    <m/>
    <n v="199906.09329046565"/>
    <n v="0"/>
    <n v="0"/>
    <n v="-84288.991650000011"/>
    <n v="3719.1753000000026"/>
    <n v="0"/>
    <n v="0"/>
    <n v="-87713.257615748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1"/>
    <s v="Regular"/>
    <s v="Verde"/>
    <s v="A4"/>
    <s v="Industrial"/>
    <s v="Não se aplica"/>
    <s v="Não se aplica"/>
    <s v="Não se aplica"/>
    <s v="Fora ponta"/>
    <s v="CATIVO"/>
    <x v="8"/>
    <n v="0"/>
    <n v="0"/>
    <n v="2264.5300000000002"/>
    <n v="2264.5300000000002"/>
    <n v="2264.5300000000002"/>
    <n v="2264.5300000000002"/>
    <m/>
    <n v="64.11"/>
    <n v="215.17"/>
    <m/>
    <n v="632437.93839999998"/>
    <n v="632437.93839999998"/>
    <n v="688552.99180000008"/>
    <n v="0"/>
    <n v="120349.21756453974"/>
    <n v="0"/>
    <n v="0"/>
    <n v="0"/>
    <n v="0"/>
    <n v="0"/>
    <n v="477276.73051859246"/>
    <n v="9979.7258172380371"/>
    <n v="0"/>
    <n v="0"/>
    <n v="0"/>
    <n v="0"/>
    <n v="21375.909459701103"/>
    <m/>
    <n v="1562.237303318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1.4871945707296"/>
    <n v="0"/>
    <n v="0"/>
    <n v="0"/>
    <n v="0"/>
    <n v="0"/>
    <m/>
    <m/>
    <m/>
    <m/>
    <m/>
    <m/>
    <m/>
    <m/>
    <m/>
    <n v="479158.21771316318"/>
    <m/>
    <m/>
    <m/>
    <m/>
    <m/>
    <m/>
    <m/>
    <m/>
    <m/>
    <m/>
    <m/>
    <m/>
    <n v="688552.99180000008"/>
    <n v="56115.023400000064"/>
    <m/>
    <m/>
    <m/>
    <m/>
    <n v="-5434.8719999999976"/>
    <n v="61549.925400000022"/>
    <n v="31"/>
    <n v="56116.608539814013"/>
    <n v="0"/>
    <n v="0"/>
    <n v="0"/>
    <n v="0"/>
    <n v="0"/>
    <n v="0"/>
    <n v="0"/>
    <n v="0"/>
    <n v="0"/>
    <n v="0"/>
    <n v="61548.759346303355"/>
    <n v="0"/>
    <n v="0"/>
    <n v="0"/>
    <n v="242.63324638928225"/>
    <n v="0"/>
    <n v="-4893.2785218356003"/>
    <m/>
    <n v="0"/>
    <n v="0"/>
    <n v="0"/>
    <n v="0"/>
    <n v="-679.65855353539882"/>
    <n v="-101.84697750771306"/>
    <n v="0"/>
    <n v="0"/>
    <m/>
    <m/>
    <m/>
    <n v="0"/>
    <n v="0"/>
    <n v="0"/>
    <n v="-5434.872000000003"/>
    <n v="61549.92540000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2"/>
    <s v="Regular"/>
    <s v="Verde"/>
    <s v="A4"/>
    <s v="Industrial"/>
    <s v="Não se aplica"/>
    <s v="Não se aplica"/>
    <s v="Não se aplica"/>
    <s v="Não se aplica"/>
    <s v="CATIVO"/>
    <x v="8"/>
    <n v="6762"/>
    <n v="6762"/>
    <n v="0"/>
    <n v="0"/>
    <n v="0"/>
    <n v="0"/>
    <n v="28.04"/>
    <m/>
    <m/>
    <n v="189606.47999999998"/>
    <m/>
    <n v="189606.47999999998"/>
    <n v="142407.72"/>
    <n v="0"/>
    <n v="0"/>
    <n v="0"/>
    <n v="0"/>
    <n v="0"/>
    <n v="74859.920541638072"/>
    <n v="114780.215925736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6484.8"/>
    <n v="16"/>
    <m/>
    <m/>
    <m/>
    <m/>
    <m/>
    <m/>
    <m/>
    <m/>
    <m/>
    <n v="0"/>
    <m/>
    <m/>
    <m/>
    <m/>
    <m/>
    <m/>
    <m/>
    <m/>
    <m/>
    <m/>
    <m/>
    <m/>
    <n v="142407.72"/>
    <n v="-47198.790000000008"/>
    <m/>
    <m/>
    <m/>
    <m/>
    <n v="-47198.76"/>
    <n v="0"/>
    <n v="31"/>
    <n v="3115.8332364886737"/>
    <n v="0"/>
    <n v="0"/>
    <n v="0"/>
    <n v="0"/>
    <m/>
    <m/>
    <m/>
    <n v="3115.83323648867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780.21592573664"/>
    <m/>
    <n v="0"/>
    <n v="0"/>
    <n v="-47198.75999999998"/>
    <m/>
    <n v="0"/>
    <m/>
    <n v="-50362.380070410676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313"/>
    <s v="Regular"/>
    <s v="Convencional"/>
    <s v="B3"/>
    <s v="Comercial"/>
    <s v="Não se aplica"/>
    <s v="Não se aplica"/>
    <s v="Não se aplica"/>
    <s v="Não se aplica"/>
    <s v="CATIVO"/>
    <x v="8"/>
    <n v="0"/>
    <n v="0"/>
    <n v="156.58600000000001"/>
    <n v="156.58600000000001"/>
    <n v="156.58600000000001"/>
    <n v="156.58600000000001"/>
    <m/>
    <n v="415.98"/>
    <n v="215.17"/>
    <m/>
    <n v="98829.253900000011"/>
    <n v="98829.253900000011"/>
    <n v="85893.684440000012"/>
    <n v="0"/>
    <n v="9565.3060491763972"/>
    <n v="0"/>
    <n v="0"/>
    <n v="0"/>
    <n v="13985.569003554974"/>
    <n v="39586.583668491374"/>
    <n v="33002.368758631732"/>
    <n v="690.07049887527887"/>
    <n v="0"/>
    <n v="0"/>
    <n v="0"/>
    <n v="0"/>
    <n v="1478.0851473183209"/>
    <m/>
    <n v="184.36396162170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96282238516682"/>
    <n v="0"/>
    <n v="0"/>
    <n v="0"/>
    <n v="28563.42"/>
    <n v="447"/>
    <m/>
    <m/>
    <m/>
    <m/>
    <m/>
    <m/>
    <m/>
    <m/>
    <m/>
    <n v="33339.331581016901"/>
    <m/>
    <m/>
    <m/>
    <m/>
    <m/>
    <m/>
    <m/>
    <m/>
    <m/>
    <m/>
    <m/>
    <m/>
    <n v="85895.878599999996"/>
    <n v="-12933.405300000013"/>
    <m/>
    <m/>
    <m/>
    <m/>
    <n v="-17191.576940000006"/>
    <n v="4256.0074800000011"/>
    <n v="31"/>
    <n v="4433.5593644023465"/>
    <n v="0"/>
    <n v="0"/>
    <n v="0"/>
    <n v="0"/>
    <n v="0"/>
    <n v="0"/>
    <n v="0"/>
    <n v="582.10989828996026"/>
    <n v="0"/>
    <n v="0"/>
    <n v="4255.9268506048757"/>
    <n v="0"/>
    <n v="0"/>
    <n v="0"/>
    <n v="43.454127003219298"/>
    <n v="0"/>
    <n v="-388.91575360778916"/>
    <m/>
    <n v="0"/>
    <n v="0"/>
    <n v="0"/>
    <n v="0"/>
    <n v="-46.99651330028496"/>
    <n v="-12.019244587640117"/>
    <n v="0"/>
    <n v="0"/>
    <m/>
    <m/>
    <m/>
    <n v="39586.583668491374"/>
    <n v="0"/>
    <n v="0"/>
    <n v="-17191.576940000006"/>
    <n v="4256.0074800000002"/>
    <n v="0"/>
    <n v="0"/>
    <n v="-17369.49661857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2909999999999999"/>
    <n v="1.2909999999999999"/>
    <n v="1.2909999999999999"/>
    <n v="1.2909999999999999"/>
    <m/>
    <n v="415.98"/>
    <n v="215.17"/>
    <m/>
    <n v="814.81464999999992"/>
    <n v="814.81464999999992"/>
    <n v="708.16513999999984"/>
    <n v="0"/>
    <n v="78.862798139595668"/>
    <n v="0"/>
    <n v="0"/>
    <n v="0"/>
    <n v="115.30641042998397"/>
    <n v="326.3783449096494"/>
    <n v="272.09366142179738"/>
    <n v="5.689403995555061"/>
    <n v="0"/>
    <n v="0"/>
    <n v="0"/>
    <n v="0"/>
    <n v="12.186325247390903"/>
    <m/>
    <n v="1.5200201451829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781474953013059"/>
    <n v="0"/>
    <n v="0"/>
    <n v="0"/>
    <n v="616.07000000000005"/>
    <n v="8"/>
    <m/>
    <m/>
    <m/>
    <m/>
    <m/>
    <m/>
    <m/>
    <m/>
    <m/>
    <n v="274.87180891709869"/>
    <m/>
    <m/>
    <m/>
    <m/>
    <m/>
    <m/>
    <m/>
    <m/>
    <m/>
    <m/>
    <m/>
    <m/>
    <n v="707.61660000000006"/>
    <n v="-107.22804999999983"/>
    <m/>
    <m/>
    <m/>
    <m/>
    <n v="-141.73889000000003"/>
    <n v="35.089380000000006"/>
    <n v="31"/>
    <n v="36.553236811997408"/>
    <n v="0"/>
    <n v="0"/>
    <n v="0"/>
    <n v="0"/>
    <n v="0"/>
    <n v="0"/>
    <n v="0"/>
    <n v="4.7993043994503921"/>
    <n v="0"/>
    <n v="0"/>
    <n v="35.08871523719165"/>
    <n v="0"/>
    <n v="0"/>
    <n v="0"/>
    <n v="0.35826496596858037"/>
    <n v="0"/>
    <n v="-3.2064823030644902"/>
    <m/>
    <n v="0"/>
    <n v="0"/>
    <n v="0"/>
    <n v="0"/>
    <n v="-0.38747077433913368"/>
    <n v="-9.9094713209632035E-2"/>
    <n v="0"/>
    <n v="0"/>
    <m/>
    <m/>
    <m/>
    <n v="326.3783449096494"/>
    <n v="0"/>
    <n v="0"/>
    <n v="-141.73889000000003"/>
    <n v="35.089380000000006"/>
    <n v="0"/>
    <n v="0"/>
    <n v="-143.20577915384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5"/>
    <s v="Regular"/>
    <s v="Verde"/>
    <s v="A4"/>
    <s v="Comercial"/>
    <s v="Não se aplica"/>
    <s v="Não se aplica"/>
    <s v="Não se aplica"/>
    <s v="Ponta"/>
    <s v="CATIVO"/>
    <x v="8"/>
    <n v="0"/>
    <n v="0"/>
    <n v="2.5649999999999999"/>
    <n v="2.5649999999999999"/>
    <n v="2.5649999999999999"/>
    <n v="2.5649999999999999"/>
    <m/>
    <n v="2184.0300000000002"/>
    <n v="215.17"/>
    <m/>
    <n v="6153.9480000000003"/>
    <n v="6153.9480000000003"/>
    <n v="4643.6503499999999"/>
    <n v="0"/>
    <n v="136.31779797708327"/>
    <n v="0"/>
    <n v="0"/>
    <n v="0"/>
    <n v="1690.3202926828092"/>
    <n v="3747.2805151463026"/>
    <n v="540.60436990465553"/>
    <n v="11.303889425715518"/>
    <n v="0"/>
    <n v="0"/>
    <n v="0"/>
    <n v="0"/>
    <n v="24.212179906706172"/>
    <m/>
    <n v="1.76952333729794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11330183631574"/>
    <n v="0"/>
    <n v="0"/>
    <n v="0"/>
    <n v="0"/>
    <n v="0"/>
    <m/>
    <m/>
    <m/>
    <m/>
    <m/>
    <m/>
    <m/>
    <m/>
    <m/>
    <n v="542.73550292301866"/>
    <m/>
    <m/>
    <m/>
    <m/>
    <m/>
    <m/>
    <m/>
    <m/>
    <m/>
    <m/>
    <m/>
    <m/>
    <n v="4652.7022999999999"/>
    <n v="-1501.2757000000011"/>
    <m/>
    <m/>
    <m/>
    <m/>
    <n v="-1580.0143500000006"/>
    <n v="69.716700000000017"/>
    <n v="31"/>
    <n v="133.91728032637502"/>
    <n v="0"/>
    <n v="0"/>
    <n v="0"/>
    <n v="0"/>
    <n v="0"/>
    <n v="0"/>
    <n v="0"/>
    <n v="70.354818842260329"/>
    <n v="0"/>
    <n v="0"/>
    <n v="69.715379228037591"/>
    <n v="0"/>
    <n v="0"/>
    <n v="0"/>
    <n v="0.27482712836151846"/>
    <n v="0"/>
    <n v="-5.5425449910172517"/>
    <m/>
    <n v="0"/>
    <n v="0"/>
    <n v="0"/>
    <n v="0"/>
    <n v="-0.76983929990695543"/>
    <n v="-0.11536058136005423"/>
    <n v="0"/>
    <n v="0"/>
    <m/>
    <m/>
    <m/>
    <n v="3747.2805151463026"/>
    <n v="0"/>
    <n v="0"/>
    <n v="-1580.0143500000008"/>
    <n v="69.71670000000006"/>
    <n v="0"/>
    <n v="0"/>
    <n v="-1644.202914344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6"/>
    <s v="Regular"/>
    <s v="Verde"/>
    <s v="A4"/>
    <s v="Comercial"/>
    <s v="Não se aplica"/>
    <s v="Não se aplica"/>
    <s v="Não se aplica"/>
    <s v="Fora ponta"/>
    <s v="CATIVO"/>
    <x v="8"/>
    <n v="0"/>
    <n v="0"/>
    <n v="27.405999999999999"/>
    <n v="27.405999999999999"/>
    <n v="27.405999999999999"/>
    <n v="27.405999999999999"/>
    <m/>
    <n v="64.11"/>
    <n v="215.17"/>
    <m/>
    <n v="7653.9476799999993"/>
    <n v="7653.9476799999993"/>
    <n v="8333.0683599999993"/>
    <n v="0"/>
    <n v="1456.5011974112842"/>
    <n v="0"/>
    <n v="0"/>
    <n v="0"/>
    <n v="0"/>
    <n v="0"/>
    <n v="5776.1416614452191"/>
    <n v="120.77754136497445"/>
    <n v="0"/>
    <n v="0"/>
    <n v="0"/>
    <n v="0"/>
    <n v="258.69746687063912"/>
    <m/>
    <n v="18.906649739566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70304678854071"/>
    <n v="0"/>
    <n v="0"/>
    <n v="0"/>
    <n v="0"/>
    <n v="0"/>
    <m/>
    <m/>
    <m/>
    <m/>
    <m/>
    <m/>
    <m/>
    <m/>
    <m/>
    <n v="5798.9119661240729"/>
    <m/>
    <m/>
    <m/>
    <m/>
    <m/>
    <m/>
    <m/>
    <m/>
    <m/>
    <m/>
    <m/>
    <m/>
    <n v="8334.2846000000009"/>
    <n v="680.30692000000181"/>
    <m/>
    <m/>
    <m/>
    <m/>
    <n v="-65.774399999999957"/>
    <n v="744.89508000000012"/>
    <n v="31"/>
    <n v="679.13950075386219"/>
    <n v="0"/>
    <n v="0"/>
    <n v="0"/>
    <n v="0"/>
    <n v="0"/>
    <n v="0"/>
    <n v="0"/>
    <n v="0"/>
    <n v="0"/>
    <n v="0"/>
    <n v="744.88096807937654"/>
    <n v="0"/>
    <n v="0"/>
    <n v="0"/>
    <n v="2.9364180428365572"/>
    <n v="0"/>
    <n v="-59.219878371859295"/>
    <m/>
    <n v="0"/>
    <n v="0"/>
    <n v="0"/>
    <n v="0"/>
    <n v="-8.2254252839181561"/>
    <n v="-1.2325817125745218"/>
    <n v="0"/>
    <n v="0"/>
    <m/>
    <m/>
    <m/>
    <n v="0"/>
    <n v="0"/>
    <n v="0"/>
    <n v="-65.774400000000014"/>
    <n v="744.89508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7"/>
    <s v="Regular"/>
    <s v="Verde"/>
    <s v="A4"/>
    <s v="Comercial"/>
    <s v="Não se aplica"/>
    <s v="Não se aplica"/>
    <s v="Não se aplica"/>
    <s v="Não se aplica"/>
    <s v="CATIVO"/>
    <x v="8"/>
    <n v="110"/>
    <n v="110"/>
    <n v="0"/>
    <n v="0"/>
    <n v="0"/>
    <n v="0"/>
    <n v="28.04"/>
    <m/>
    <m/>
    <n v="3084.4"/>
    <m/>
    <n v="3084.4"/>
    <n v="2316.6"/>
    <n v="0"/>
    <n v="0"/>
    <n v="0"/>
    <n v="0"/>
    <n v="0"/>
    <n v="1217.7745133954729"/>
    <n v="1867.17298903150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294.45"/>
    <n v="1"/>
    <m/>
    <m/>
    <m/>
    <m/>
    <m/>
    <m/>
    <m/>
    <m/>
    <m/>
    <n v="0"/>
    <m/>
    <m/>
    <m/>
    <m/>
    <m/>
    <m/>
    <m/>
    <m/>
    <m/>
    <m/>
    <m/>
    <m/>
    <n v="2316.6"/>
    <n v="-767.83000000000084"/>
    <m/>
    <m/>
    <m/>
    <m/>
    <n v="-767.80000000000007"/>
    <n v="0"/>
    <n v="31"/>
    <n v="50.686432418478944"/>
    <n v="0"/>
    <n v="0"/>
    <n v="0"/>
    <n v="0"/>
    <m/>
    <m/>
    <m/>
    <n v="50.6864324184789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67.1729890315041"/>
    <m/>
    <n v="0"/>
    <n v="0"/>
    <n v="-767.80000000000018"/>
    <m/>
    <n v="0"/>
    <m/>
    <n v="-819.26379883838717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318"/>
    <s v="Regular"/>
    <s v="Branca"/>
    <s v="B3"/>
    <s v="Comercial"/>
    <s v="Não se aplica"/>
    <s v="Não se aplica"/>
    <s v="Não se aplica"/>
    <s v="Ponta"/>
    <s v="CATIVO"/>
    <x v="8"/>
    <n v="0"/>
    <n v="0"/>
    <n v="7.8E-2"/>
    <n v="7.8E-2"/>
    <n v="7.8E-2"/>
    <n v="7.8E-2"/>
    <m/>
    <n v="1254.27"/>
    <n v="215.17"/>
    <m/>
    <n v="114.61632"/>
    <n v="114.61632"/>
    <n v="87.68526"/>
    <n v="0"/>
    <n v="4.7647546513466015"/>
    <n v="0"/>
    <n v="0"/>
    <n v="0"/>
    <n v="24.040832272259244"/>
    <n v="68.031283348527481"/>
    <n v="16.439431131603559"/>
    <n v="0.34374400592819121"/>
    <n v="0"/>
    <n v="0"/>
    <n v="0"/>
    <n v="0"/>
    <n v="0.736276815876445"/>
    <m/>
    <n v="9.183700334955198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785089437141895"/>
    <n v="0"/>
    <n v="0"/>
    <n v="0"/>
    <n v="0"/>
    <n v="0"/>
    <m/>
    <m/>
    <m/>
    <m/>
    <m/>
    <m/>
    <m/>
    <m/>
    <m/>
    <n v="16.607282025974978"/>
    <m/>
    <m/>
    <m/>
    <m/>
    <m/>
    <m/>
    <m/>
    <m/>
    <m/>
    <m/>
    <m/>
    <m/>
    <n v="89.933600000000013"/>
    <n v="-24.712720000000004"/>
    <m/>
    <m/>
    <m/>
    <m/>
    <n v="-29.051099999999995"/>
    <n v="2.1200400000000004"/>
    <n v="31"/>
    <n v="2.9191498884028277"/>
    <n v="0"/>
    <n v="0"/>
    <n v="0"/>
    <n v="0"/>
    <n v="0"/>
    <n v="0"/>
    <n v="0"/>
    <n v="1.0006318960103719"/>
    <n v="0"/>
    <n v="0"/>
    <n v="2.1199998361742445"/>
    <n v="0"/>
    <n v="0"/>
    <n v="0"/>
    <n v="2.1645753172385179E-2"/>
    <n v="0"/>
    <n v="-0.19373014689312917"/>
    <m/>
    <n v="0"/>
    <n v="0"/>
    <n v="0"/>
    <n v="0"/>
    <n v="-2.3410317891907395E-2"/>
    <n v="-5.9871321691334495E-3"/>
    <n v="0"/>
    <n v="0"/>
    <m/>
    <m/>
    <m/>
    <n v="68.031283348527481"/>
    <n v="0"/>
    <n v="0"/>
    <n v="-29.051100000000005"/>
    <n v="2.1200399999999995"/>
    <n v="0"/>
    <n v="0"/>
    <n v="-29.85024310193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19"/>
    <s v="Regular"/>
    <s v="Branca"/>
    <s v="B3"/>
    <s v="Comercial"/>
    <s v="Não se aplica"/>
    <s v="Não se aplica"/>
    <s v="Não se aplica"/>
    <s v="Fora ponta"/>
    <s v="CATIVO"/>
    <x v="8"/>
    <n v="0"/>
    <n v="0"/>
    <n v="0.84199999999999997"/>
    <n v="0.84199999999999997"/>
    <n v="0.84199999999999997"/>
    <n v="0.84199999999999997"/>
    <m/>
    <n v="309.91000000000003"/>
    <n v="215.17"/>
    <m/>
    <n v="442.11736000000002"/>
    <n v="442.11736000000002"/>
    <n v="400.5394"/>
    <n v="0"/>
    <n v="51.434915595305625"/>
    <n v="0"/>
    <n v="0"/>
    <n v="0"/>
    <n v="51.881236480935144"/>
    <n v="146.87793560438385"/>
    <n v="177.46155144628457"/>
    <n v="3.7106724742504738"/>
    <n v="0"/>
    <n v="0"/>
    <n v="0"/>
    <n v="0"/>
    <n v="7.9480138329226495"/>
    <m/>
    <n v="0.9913686771836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119288853940352"/>
    <n v="0"/>
    <n v="0"/>
    <n v="0"/>
    <n v="0"/>
    <n v="0"/>
    <m/>
    <m/>
    <m/>
    <m/>
    <m/>
    <m/>
    <m/>
    <m/>
    <m/>
    <n v="179.2734803316786"/>
    <m/>
    <m/>
    <m/>
    <m/>
    <m/>
    <m/>
    <m/>
    <m/>
    <m/>
    <m/>
    <m/>
    <m/>
    <n v="399.58799999999997"/>
    <n v="-42.559360000000027"/>
    <m/>
    <m/>
    <m/>
    <m/>
    <n v="-64.463520000000017"/>
    <n v="22.885560000000005"/>
    <n v="31"/>
    <n v="22.869566030671194"/>
    <n v="0"/>
    <n v="0"/>
    <n v="0"/>
    <n v="0"/>
    <n v="0"/>
    <n v="0"/>
    <n v="0"/>
    <n v="2.1594102666397177"/>
    <n v="0"/>
    <n v="0"/>
    <n v="22.885126436650182"/>
    <n v="0"/>
    <n v="0"/>
    <n v="0"/>
    <n v="0.23366313039933773"/>
    <n v="0"/>
    <n v="-2.0912920985130157"/>
    <m/>
    <n v="0"/>
    <n v="0"/>
    <n v="0"/>
    <n v="0"/>
    <n v="-0.25271138032033402"/>
    <n v="-6.4630324184748233E-2"/>
    <n v="0"/>
    <n v="0"/>
    <m/>
    <m/>
    <m/>
    <n v="146.87793560438385"/>
    <n v="0"/>
    <n v="0"/>
    <n v="-64.463520000000045"/>
    <n v="22.885559999999998"/>
    <n v="0"/>
    <n v="0"/>
    <n v="-64.44597056387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0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9.7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21"/>
    <s v="Regular"/>
    <s v="Branca"/>
    <s v="B3"/>
    <s v="Comercial"/>
    <s v="Não se aplica"/>
    <s v="Não se aplica"/>
    <s v="Não se aplica"/>
    <s v="Intermediário"/>
    <s v="CATIVO"/>
    <x v="8"/>
    <n v="0"/>
    <n v="0"/>
    <n v="5.1999999999999998E-2"/>
    <n v="5.1999999999999998E-2"/>
    <n v="5.1999999999999998E-2"/>
    <n v="5.1999999999999998E-2"/>
    <m/>
    <n v="782.07"/>
    <n v="215.17"/>
    <m/>
    <n v="51.856479999999998"/>
    <n v="51.856479999999998"/>
    <n v="41.595320000000001"/>
    <n v="0"/>
    <n v="3.1765031008977345"/>
    <n v="0"/>
    <n v="0"/>
    <n v="0"/>
    <n v="9.6144963196870119"/>
    <n v="27.212509039628795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39.9955"/>
    <n v="-11.890979999999992"/>
    <m/>
    <m/>
    <m/>
    <m/>
    <n v="-11.674520000000005"/>
    <n v="1.4133600000000004"/>
    <n v="31"/>
    <n v="1.6791883104818162"/>
    <n v="0"/>
    <n v="0"/>
    <n v="0"/>
    <n v="0"/>
    <n v="0"/>
    <n v="0"/>
    <n v="0"/>
    <n v="0.40017631555350874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27.212509039628795"/>
    <n v="0"/>
    <n v="0"/>
    <n v="-11.674520000000001"/>
    <n v="1.4133600000000008"/>
    <n v="0"/>
    <n v="0"/>
    <n v="-11.94009535415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2"/>
    <s v="Regular"/>
    <s v="Convencional"/>
    <s v="B2"/>
    <s v="Rural"/>
    <s v="Não se aplica"/>
    <s v="Não se aplica"/>
    <s v="Não se aplica"/>
    <s v="Não se aplica"/>
    <s v="CATIVO"/>
    <x v="8"/>
    <n v="0"/>
    <n v="0"/>
    <n v="404.67"/>
    <n v="404.67"/>
    <n v="404.67"/>
    <n v="404.67"/>
    <m/>
    <n v="415.98"/>
    <n v="215.17"/>
    <m/>
    <n v="255407.4705"/>
    <n v="255407.4705"/>
    <n v="221977.68180000002"/>
    <n v="0"/>
    <n v="24719.913650774735"/>
    <n v="0"/>
    <n v="0"/>
    <n v="0"/>
    <n v="36143.334708521776"/>
    <n v="102304.82171540498"/>
    <n v="85289.033282384771"/>
    <n v="1783.3703446020659"/>
    <n v="0"/>
    <n v="0"/>
    <n v="0"/>
    <n v="0"/>
    <n v="3819.8607574451412"/>
    <m/>
    <n v="476.45743776234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0.82335160618095"/>
    <n v="0"/>
    <n v="0"/>
    <n v="0"/>
    <n v="45541.07"/>
    <n v="1557"/>
    <m/>
    <m/>
    <m/>
    <m/>
    <m/>
    <n v="26635.379399999998"/>
    <m/>
    <m/>
    <m/>
    <n v="86159.856633990945"/>
    <m/>
    <m/>
    <m/>
    <m/>
    <m/>
    <m/>
    <m/>
    <m/>
    <m/>
    <m/>
    <m/>
    <m/>
    <n v="195342.30240000002"/>
    <n v="-29415.492300000013"/>
    <m/>
    <m/>
    <m/>
    <m/>
    <n v="-44428.719300000012"/>
    <n v="10998.930600000003"/>
    <n v="31"/>
    <n v="11457.783377777698"/>
    <n v="0"/>
    <n v="0"/>
    <n v="0"/>
    <n v="0"/>
    <n v="0"/>
    <n v="0"/>
    <n v="0"/>
    <n v="1504.3644549384917"/>
    <n v="0"/>
    <n v="0"/>
    <n v="10998.722226982471"/>
    <n v="0"/>
    <n v="0"/>
    <n v="0"/>
    <n v="112.29983251627061"/>
    <n v="0"/>
    <n v="-1005.0869044005485"/>
    <m/>
    <n v="0"/>
    <n v="0"/>
    <n v="0"/>
    <n v="0"/>
    <n v="-121.45453001689975"/>
    <n v="-31.061702242092736"/>
    <n v="0"/>
    <n v="0"/>
    <m/>
    <m/>
    <m/>
    <n v="102304.82171540498"/>
    <n v="0"/>
    <n v="0"/>
    <n v="-44428.719300000012"/>
    <n v="10998.930600000007"/>
    <n v="0"/>
    <n v="0"/>
    <n v="-44888.52257953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3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0.159"/>
    <n v="-0.159"/>
    <n v="-0.159"/>
    <n v="-0.159"/>
    <m/>
    <n v="415.98"/>
    <n v="215.17"/>
    <m/>
    <n v="-100.35285"/>
    <n v="-100.35285"/>
    <n v="-87.217860000000002"/>
    <n v="0"/>
    <n v="-9.7127690969757658"/>
    <n v="0"/>
    <n v="0"/>
    <n v="0"/>
    <n v="-14.201176807410885"/>
    <n v="-40.196868195688815"/>
    <n v="-33.511148075961103"/>
    <n v="-0.70070893516131283"/>
    <n v="0"/>
    <n v="0"/>
    <n v="0"/>
    <n v="0"/>
    <n v="-1.5008719708250609"/>
    <m/>
    <n v="-0.1872061991356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4215759237250787"/>
    <n v="0"/>
    <n v="0"/>
    <n v="0"/>
    <n v="-14.97"/>
    <n v="0"/>
    <m/>
    <m/>
    <m/>
    <m/>
    <m/>
    <n v="-10.46538"/>
    <m/>
    <m/>
    <m/>
    <n v="-33.853305668333611"/>
    <m/>
    <m/>
    <m/>
    <m/>
    <m/>
    <m/>
    <m/>
    <m/>
    <m/>
    <m/>
    <m/>
    <m/>
    <n v="-77.235200000000006"/>
    <n v="11.044989999999999"/>
    <m/>
    <m/>
    <m/>
    <m/>
    <n v="17.456610000000005"/>
    <n v="-4.3216200000000011"/>
    <n v="31"/>
    <n v="-4.5019091038788517"/>
    <n v="0"/>
    <n v="0"/>
    <n v="0"/>
    <n v="0"/>
    <n v="0"/>
    <n v="0"/>
    <n v="0"/>
    <n v="-0.59108396554036524"/>
    <n v="0"/>
    <n v="0"/>
    <n v="-4.3215381275859599"/>
    <n v="0"/>
    <n v="0"/>
    <n v="0"/>
    <n v="-4.4124035312939014E-2"/>
    <n v="0"/>
    <n v="0.39491145328215005"/>
    <m/>
    <n v="0"/>
    <n v="0"/>
    <n v="0"/>
    <n v="0"/>
    <n v="4.7721032625811288E-2"/>
    <n v="1.2204538652464347E-2"/>
    <n v="0"/>
    <n v="0"/>
    <m/>
    <m/>
    <m/>
    <n v="-40.196868195688815"/>
    <n v="0"/>
    <n v="0"/>
    <n v="17.456610000000005"/>
    <n v="-4.3216200000000029"/>
    <n v="0"/>
    <n v="0"/>
    <n v="17.637272568133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4.9390000000000001"/>
    <n v="4.9390000000000001"/>
    <n v="4.9390000000000001"/>
    <n v="4.9390000000000001"/>
    <m/>
    <n v="415.98"/>
    <n v="215.17"/>
    <m/>
    <n v="3117.2498500000002"/>
    <n v="3117.2498500000002"/>
    <n v="2709.2390599999999"/>
    <n v="0"/>
    <n v="301.70670798719061"/>
    <n v="0"/>
    <n v="0"/>
    <n v="0"/>
    <n v="441.1296368037884"/>
    <n v="1248.6310189843211"/>
    <n v="1040.9532097306408"/>
    <n v="21.766046734350464"/>
    <n v="0"/>
    <n v="0"/>
    <n v="0"/>
    <n v="0"/>
    <n v="46.621425559150794"/>
    <m/>
    <n v="5.8151661479927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28404708979977"/>
    <n v="0"/>
    <n v="0"/>
    <n v="0"/>
    <n v="2305.96"/>
    <n v="21"/>
    <m/>
    <m/>
    <m/>
    <m/>
    <m/>
    <n v="325.08497999999997"/>
    <m/>
    <m/>
    <m/>
    <n v="1051.5816144396208"/>
    <m/>
    <m/>
    <m/>
    <m/>
    <m/>
    <m/>
    <m/>
    <m/>
    <m/>
    <m/>
    <m/>
    <m/>
    <n v="2384.6368000000002"/>
    <n v="-358.56318999999985"/>
    <m/>
    <m/>
    <m/>
    <m/>
    <n v="-542.25281000000007"/>
    <n v="134.24202000000002"/>
    <n v="31"/>
    <n v="139.84232115759482"/>
    <n v="0"/>
    <n v="0"/>
    <n v="0"/>
    <n v="0"/>
    <n v="0"/>
    <n v="0"/>
    <n v="0"/>
    <n v="18.360778023923729"/>
    <n v="0"/>
    <n v="0"/>
    <n v="134.23947680595643"/>
    <n v="0"/>
    <n v="0"/>
    <n v="0"/>
    <n v="1.370620191261672"/>
    <n v="0"/>
    <n v="-12.267092250066241"/>
    <m/>
    <n v="0"/>
    <n v="0"/>
    <n v="0"/>
    <n v="0"/>
    <n v="-1.482353334206806"/>
    <n v="-0.37910827927371926"/>
    <n v="0"/>
    <n v="0"/>
    <m/>
    <m/>
    <m/>
    <n v="1248.6310189843211"/>
    <n v="0"/>
    <n v="0"/>
    <n v="-542.25280999999995"/>
    <n v="134.24202000000014"/>
    <n v="0"/>
    <n v="0"/>
    <n v="-547.86471203782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5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5.387"/>
    <n v="25.387"/>
    <n v="25.387"/>
    <n v="25.387"/>
    <m/>
    <n v="415.98"/>
    <n v="215.17"/>
    <m/>
    <n v="16023.00505"/>
    <n v="16023.00505"/>
    <n v="13925.78498"/>
    <n v="0"/>
    <n v="1550.8054658171304"/>
    <n v="0"/>
    <n v="0"/>
    <n v="0"/>
    <n v="2267.454563583271"/>
    <n v="6418.0999552449803"/>
    <n v="5350.613309461789"/>
    <n v="111.87985998075628"/>
    <n v="0"/>
    <n v="0"/>
    <n v="0"/>
    <n v="0"/>
    <n v="239.63922467506805"/>
    <m/>
    <n v="29.890589795321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631162248810426"/>
    <n v="0"/>
    <n v="0"/>
    <n v="0"/>
    <n v="3838.5"/>
    <n v="50"/>
    <m/>
    <m/>
    <m/>
    <m/>
    <m/>
    <m/>
    <m/>
    <m/>
    <m/>
    <n v="5405.2444717105991"/>
    <m/>
    <m/>
    <m/>
    <m/>
    <m/>
    <m/>
    <m/>
    <m/>
    <m/>
    <m/>
    <m/>
    <m/>
    <n v="13927.4306"/>
    <n v="-2095.6044500000007"/>
    <m/>
    <m/>
    <m/>
    <m/>
    <n v="-2787.2387300000005"/>
    <n v="690.01866000000018"/>
    <n v="31"/>
    <n v="718.80482025265701"/>
    <n v="0"/>
    <n v="0"/>
    <n v="0"/>
    <n v="0"/>
    <n v="0"/>
    <n v="0"/>
    <n v="0"/>
    <n v="94.376406497945482"/>
    <n v="0"/>
    <n v="0"/>
    <n v="690.00558770455882"/>
    <n v="0"/>
    <n v="0"/>
    <n v="0"/>
    <n v="7.0451376382992592"/>
    <n v="0"/>
    <n v="-63.054195374049641"/>
    <m/>
    <n v="0"/>
    <n v="0"/>
    <n v="0"/>
    <n v="0"/>
    <n v="-7.6194582092545318"/>
    <n v="-1.9486580048434732"/>
    <n v="0"/>
    <n v="0"/>
    <m/>
    <m/>
    <m/>
    <n v="6418.0999552449803"/>
    <n v="0"/>
    <n v="0"/>
    <n v="-2787.2387300000009"/>
    <n v="690.01866000000064"/>
    <n v="0"/>
    <n v="0"/>
    <n v="-2816.084520045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6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03.706"/>
    <n v="103.706"/>
    <n v="103.706"/>
    <n v="103.706"/>
    <m/>
    <n v="228.79"/>
    <n v="118.34"/>
    <m/>
    <n v="35999.463779999998"/>
    <n v="35999.463779999998"/>
    <n v="31287.063139999998"/>
    <n v="0"/>
    <n v="3484.2757080756719"/>
    <n v="0"/>
    <n v="0"/>
    <n v="0"/>
    <n v="5094.4086987053161"/>
    <n v="14419.880674252589"/>
    <n v="12021.502624535113"/>
    <n v="251.36632991453828"/>
    <n v="0"/>
    <n v="0"/>
    <n v="0"/>
    <n v="0"/>
    <n v="538.40997316673679"/>
    <m/>
    <n v="67.156750617343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74268805673407"/>
    <n v="0"/>
    <n v="0"/>
    <n v="0"/>
    <n v="10497.41"/>
    <n v="87"/>
    <m/>
    <m/>
    <m/>
    <m/>
    <m/>
    <m/>
    <m/>
    <m/>
    <m/>
    <n v="12144.245312591847"/>
    <m/>
    <m/>
    <m/>
    <m/>
    <m/>
    <m/>
    <m/>
    <m/>
    <m/>
    <m/>
    <m/>
    <m/>
    <n v="31288.269899999999"/>
    <n v="-4711.2238799999977"/>
    <m/>
    <m/>
    <m/>
    <m/>
    <n v="-6262.805339999999"/>
    <n v="1550.4046999999989"/>
    <n v="31"/>
    <n v="1614.9763650300847"/>
    <n v="0"/>
    <n v="0"/>
    <n v="0"/>
    <n v="0"/>
    <n v="0"/>
    <n v="0"/>
    <n v="0"/>
    <n v="212.04040598540905"/>
    <n v="0"/>
    <n v="0"/>
    <n v="1550.2716237905479"/>
    <n v="0"/>
    <n v="0"/>
    <n v="0"/>
    <n v="15.828679015032435"/>
    <n v="0"/>
    <n v="-141.66715689146076"/>
    <m/>
    <n v="0"/>
    <n v="0"/>
    <n v="0"/>
    <n v="0"/>
    <n v="-17.119035064282571"/>
    <n v="-4.3781518051628225"/>
    <n v="0"/>
    <n v="0"/>
    <m/>
    <m/>
    <m/>
    <n v="14419.880674252589"/>
    <n v="0"/>
    <n v="0"/>
    <n v="-6262.805339999999"/>
    <n v="1550.4046999999991"/>
    <n v="0"/>
    <n v="0"/>
    <n v="-6327.0443014024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7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8.681999999999999"/>
    <n v="17.56108"/>
    <n v="18.681999999999999"/>
    <n v="17.56108"/>
    <m/>
    <n v="415.98"/>
    <n v="215.17"/>
    <m/>
    <n v="11791.1443"/>
    <n v="11791.1443"/>
    <n v="10247.824280000001"/>
    <n v="0"/>
    <n v="1141.2198255956052"/>
    <n v="0"/>
    <n v="0"/>
    <n v="0"/>
    <n v="1668.5936170820762"/>
    <n v="4723.0056077475365"/>
    <n v="3937.4545179566367"/>
    <n v="82.331096394236766"/>
    <n v="0"/>
    <n v="0"/>
    <n v="0"/>
    <n v="0"/>
    <n v="176.34773684876595"/>
    <m/>
    <n v="21.996139699696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202441136498059"/>
    <n v="0"/>
    <n v="0"/>
    <n v="0"/>
    <n v="3446.26"/>
    <n v="4"/>
    <m/>
    <m/>
    <m/>
    <m/>
    <n v="614.86945679999894"/>
    <m/>
    <m/>
    <m/>
    <m/>
    <n v="3977.6569590931349"/>
    <m/>
    <m/>
    <m/>
    <m/>
    <m/>
    <m/>
    <m/>
    <m/>
    <m/>
    <m/>
    <m/>
    <m/>
    <n v="9632.3623999999982"/>
    <n v="-1451.3432420000026"/>
    <m/>
    <m/>
    <m/>
    <m/>
    <n v="-2051.0967800000003"/>
    <n v="507.77676000000008"/>
    <n v="31"/>
    <n v="528.96016275889815"/>
    <n v="0"/>
    <n v="0"/>
    <n v="0"/>
    <n v="0"/>
    <n v="0"/>
    <n v="0"/>
    <n v="0"/>
    <n v="69.450507196384478"/>
    <n v="0"/>
    <n v="0"/>
    <n v="507.7671402488113"/>
    <n v="0"/>
    <n v="0"/>
    <n v="0"/>
    <n v="5.1844353944423034"/>
    <n v="0"/>
    <n v="-46.400853900736593"/>
    <m/>
    <n v="0"/>
    <n v="0"/>
    <n v="0"/>
    <n v="0"/>
    <n v="-5.6070712673924845"/>
    <n v="-1.4339949126121923"/>
    <n v="0"/>
    <n v="0"/>
    <m/>
    <m/>
    <m/>
    <n v="4723.0056077475365"/>
    <n v="0"/>
    <n v="0"/>
    <n v="-2051.0967799999999"/>
    <n v="507.77676000000065"/>
    <n v="0"/>
    <n v="0"/>
    <n v="-2072.3240636344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8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2.0070000000000001"/>
    <n v="2.0070000000000001"/>
    <n v="2.0070000000000001"/>
    <n v="2.0070000000000001"/>
    <m/>
    <n v="415.98"/>
    <n v="215.17"/>
    <m/>
    <n v="1266.7180499999999"/>
    <n v="1266.7180499999999"/>
    <n v="1100.9197799999999"/>
    <n v="0"/>
    <n v="122.60080237503372"/>
    <n v="0"/>
    <n v="0"/>
    <n v="0"/>
    <n v="179.25636385203552"/>
    <n v="507.3906570361475"/>
    <n v="422.99920873241467"/>
    <n v="8.8447976909984583"/>
    <n v="0"/>
    <n v="0"/>
    <n v="0"/>
    <n v="0"/>
    <n v="18.944968839282375"/>
    <m/>
    <n v="2.3630367400327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189326282492031"/>
    <n v="0"/>
    <n v="0"/>
    <n v="0"/>
    <n v="366.97"/>
    <n v="1"/>
    <m/>
    <m/>
    <m/>
    <m/>
    <m/>
    <m/>
    <m/>
    <m/>
    <m/>
    <n v="427.3181413606639"/>
    <m/>
    <m/>
    <m/>
    <m/>
    <m/>
    <m/>
    <m/>
    <m/>
    <m/>
    <m/>
    <m/>
    <m/>
    <n v="1102.5654"/>
    <n v="-164.18264999999997"/>
    <m/>
    <m/>
    <m/>
    <m/>
    <n v="-220.34853000000007"/>
    <n v="54.550260000000016"/>
    <n v="31"/>
    <n v="56.825984726319803"/>
    <n v="0"/>
    <n v="0"/>
    <n v="0"/>
    <n v="0"/>
    <n v="0"/>
    <n v="0"/>
    <n v="0"/>
    <n v="7.4610409989906543"/>
    <n v="0"/>
    <n v="0"/>
    <n v="54.549226553868095"/>
    <n v="0"/>
    <n v="0"/>
    <n v="0"/>
    <n v="0.55696187970483457"/>
    <n v="0"/>
    <n v="-4.9848257027501433"/>
    <m/>
    <n v="0"/>
    <n v="0"/>
    <n v="0"/>
    <n v="0"/>
    <n v="-0.6023654872956179"/>
    <n v="-0.15405351619808805"/>
    <n v="0"/>
    <n v="0"/>
    <m/>
    <m/>
    <m/>
    <n v="507.3906570361475"/>
    <n v="0"/>
    <n v="0"/>
    <n v="-220.3485300000001"/>
    <n v="54.550260000000037"/>
    <n v="0"/>
    <n v="0"/>
    <n v="-222.6289688317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29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1.44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30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6.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31"/>
    <s v="Regular"/>
    <s v="Convencional"/>
    <s v="B2"/>
    <s v="Rural"/>
    <s v="Agropecuária rural"/>
    <s v="IRRIG./AQUIC."/>
    <s v="Não se aplica"/>
    <s v="Não se aplica"/>
    <s v="CATIVO"/>
    <x v="8"/>
    <n v="0"/>
    <n v="0"/>
    <n v="0.57999999999999996"/>
    <n v="0.57999999999999996"/>
    <n v="0.57999999999999996"/>
    <n v="0.57999999999999996"/>
    <m/>
    <n v="415.98"/>
    <n v="215.17"/>
    <m/>
    <n v="366.06699999999995"/>
    <n v="366.06699999999995"/>
    <n v="318.15319999999997"/>
    <n v="0"/>
    <n v="35.430226894628575"/>
    <n v="0"/>
    <n v="0"/>
    <n v="0"/>
    <n v="51.803034894957939"/>
    <n v="146.63008524213529"/>
    <n v="122.24192379910338"/>
    <n v="2.5560451722865496"/>
    <n v="0"/>
    <n v="0"/>
    <n v="0"/>
    <n v="0"/>
    <n v="5.4748788872863852"/>
    <m/>
    <n v="0.6828905377274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81220350695255"/>
    <n v="0"/>
    <n v="0"/>
    <n v="0"/>
    <n v="0"/>
    <n v="0"/>
    <m/>
    <m/>
    <m/>
    <m/>
    <m/>
    <n v="38.175599999999989"/>
    <m/>
    <m/>
    <m/>
    <n v="123.4900458341729"/>
    <m/>
    <m/>
    <m/>
    <m/>
    <m/>
    <m/>
    <m/>
    <m/>
    <m/>
    <m/>
    <m/>
    <m/>
    <n v="279.9776"/>
    <n v="-42.190199999999948"/>
    <m/>
    <m/>
    <m/>
    <m/>
    <n v="-63.678200000000011"/>
    <n v="15.764400000000004"/>
    <n v="31"/>
    <n v="16.422058366350456"/>
    <n v="0"/>
    <n v="0"/>
    <n v="0"/>
    <n v="0"/>
    <n v="0"/>
    <n v="0"/>
    <n v="0"/>
    <n v="2.1561553459963037"/>
    <n v="0"/>
    <n v="0"/>
    <n v="15.764101345911058"/>
    <n v="0"/>
    <n v="0"/>
    <n v="0"/>
    <n v="0.16095560051260782"/>
    <n v="0"/>
    <n v="-1.4405575025386526"/>
    <m/>
    <n v="0"/>
    <n v="0"/>
    <n v="0"/>
    <n v="0"/>
    <n v="-0.17407672278597808"/>
    <n v="-4.4519700744838464E-2"/>
    <n v="0"/>
    <n v="0"/>
    <m/>
    <m/>
    <m/>
    <n v="146.63008524213529"/>
    <n v="0"/>
    <n v="0"/>
    <n v="-63.678200000000004"/>
    <n v="15.764400000000009"/>
    <n v="0"/>
    <n v="0"/>
    <n v="-64.337220688790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2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9.4E-2"/>
    <n v="-9.4E-2"/>
    <n v="-9.4E-2"/>
    <n v="-9.4E-2"/>
    <m/>
    <n v="415.98"/>
    <n v="215.17"/>
    <m/>
    <n v="-59.328099999999999"/>
    <n v="-59.328099999999999"/>
    <n v="-51.562759999999997"/>
    <n v="0"/>
    <n v="-5.7421402208535968"/>
    <n v="0"/>
    <n v="0"/>
    <n v="0"/>
    <n v="-8.3956642760793905"/>
    <n v="-23.764186228897788"/>
    <n v="-19.811622132958135"/>
    <n v="-0.41425559688782015"/>
    <n v="0"/>
    <n v="0"/>
    <n v="0"/>
    <n v="0"/>
    <n v="-0.88730795759469006"/>
    <m/>
    <n v="-0.11067536301099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0228184706299207"/>
    <n v="0"/>
    <n v="0"/>
    <n v="0"/>
    <n v="0"/>
    <n v="0"/>
    <m/>
    <m/>
    <m/>
    <m/>
    <m/>
    <n v="-6.1870799999999999"/>
    <m/>
    <m/>
    <m/>
    <n v="-20.013903980021126"/>
    <m/>
    <m/>
    <m/>
    <m/>
    <m/>
    <m/>
    <m/>
    <m/>
    <m/>
    <m/>
    <m/>
    <m/>
    <n v="-43.444800000000001"/>
    <n v="8.7337400000000045"/>
    <m/>
    <m/>
    <m/>
    <m/>
    <n v="10.320260000000001"/>
    <n v="-2.5549200000000005"/>
    <n v="31"/>
    <n v="-2.661506011098183"/>
    <n v="0"/>
    <n v="0"/>
    <n v="0"/>
    <n v="0"/>
    <n v="0"/>
    <n v="0"/>
    <n v="0"/>
    <n v="-0.34944586642009057"/>
    <n v="0"/>
    <n v="0"/>
    <n v="-2.5548715974407585"/>
    <n v="0"/>
    <n v="0"/>
    <n v="0"/>
    <n v="-2.6085907669284703E-2"/>
    <n v="0"/>
    <n v="0.23346966420454063"/>
    <m/>
    <n v="0"/>
    <n v="0"/>
    <n v="0"/>
    <n v="0"/>
    <n v="2.8212434382555052E-2"/>
    <n v="7.2152618448531325E-3"/>
    <n v="0"/>
    <n v="0"/>
    <m/>
    <m/>
    <m/>
    <n v="-23.764186228897788"/>
    <n v="0"/>
    <n v="0"/>
    <n v="10.320260000000001"/>
    <n v="-2.5549199999999992"/>
    <n v="0"/>
    <n v="0"/>
    <n v="10.427066801286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3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50800000000000001"/>
    <n v="0.20319999999999999"/>
    <n v="0.50800000000000001"/>
    <n v="0.20319999999999999"/>
    <m/>
    <n v="415.98"/>
    <n v="215.17"/>
    <m/>
    <n v="320.62420000000003"/>
    <n v="320.62420000000003"/>
    <n v="278.65832"/>
    <n v="0"/>
    <n v="31.031991831847098"/>
    <n v="0"/>
    <n v="0"/>
    <n v="0"/>
    <n v="45.372313321790749"/>
    <n v="128.42772983276677"/>
    <n v="107.06706429300779"/>
    <n v="2.2387430129682198"/>
    <n v="0"/>
    <n v="0"/>
    <n v="0"/>
    <n v="0"/>
    <n v="4.795238749554283"/>
    <m/>
    <n v="0.59811791925092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931827479574465"/>
    <n v="0"/>
    <n v="0"/>
    <n v="0"/>
    <n v="0"/>
    <n v="0"/>
    <m/>
    <m/>
    <m/>
    <m/>
    <m/>
    <m/>
    <n v="180.56961600000002"/>
    <m/>
    <m/>
    <n v="108.16024704096523"/>
    <m/>
    <m/>
    <m/>
    <m/>
    <m/>
    <m/>
    <m/>
    <m/>
    <m/>
    <m/>
    <m/>
    <m/>
    <n v="96.544000000000011"/>
    <n v="-16.345311999999993"/>
    <m/>
    <m/>
    <m/>
    <m/>
    <n v="-55.773320000000012"/>
    <n v="13.807440000000003"/>
    <n v="31"/>
    <n v="14.383458017424203"/>
    <n v="0"/>
    <n v="0"/>
    <n v="0"/>
    <n v="0"/>
    <n v="0"/>
    <n v="0"/>
    <n v="0"/>
    <n v="1.8884946823553861"/>
    <n v="0"/>
    <n v="0"/>
    <n v="13.807178420211756"/>
    <n v="0"/>
    <n v="0"/>
    <n v="0"/>
    <n v="0.14097490527655987"/>
    <n v="0"/>
    <n v="-1.261729674637305"/>
    <m/>
    <n v="0"/>
    <n v="0"/>
    <n v="0"/>
    <n v="0"/>
    <n v="-0.1524671985780639"/>
    <n v="-3.8993117204099925E-2"/>
    <n v="0"/>
    <n v="0"/>
    <m/>
    <m/>
    <m/>
    <n v="128.42772983276677"/>
    <n v="0"/>
    <n v="0"/>
    <n v="-55.773320000000012"/>
    <n v="13.80744"/>
    <n v="0"/>
    <n v="0"/>
    <n v="-56.350531223975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4"/>
    <s v="Refaturamento - Regular"/>
    <s v="Convencional"/>
    <s v="B2"/>
    <s v="Rural"/>
    <s v="Agropecuária rural"/>
    <s v="IRRIG./AQUIC. PR"/>
    <s v="Não se aplica"/>
    <s v="Não se aplica"/>
    <s v="CATIVO"/>
    <x v="8"/>
    <n v="0"/>
    <n v="0"/>
    <n v="2.8000000000000001E-2"/>
    <n v="1.12E-2"/>
    <n v="2.8000000000000001E-2"/>
    <n v="1.12E-2"/>
    <m/>
    <n v="415.98"/>
    <n v="215.17"/>
    <m/>
    <n v="17.6722"/>
    <n v="17.6722"/>
    <n v="15.359120000000001"/>
    <n v="0"/>
    <n v="1.7104247466372418"/>
    <n v="0"/>
    <n v="0"/>
    <n v="0"/>
    <n v="2.5008361673427975"/>
    <n v="7.0786937703099797"/>
    <n v="5.9013342523705088"/>
    <n v="0.12339528417935068"/>
    <n v="0"/>
    <n v="0"/>
    <n v="0"/>
    <n v="0"/>
    <n v="0.26430449800692896"/>
    <m/>
    <n v="3.29671294075314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254167210252958E-2"/>
    <n v="0"/>
    <n v="0"/>
    <n v="0"/>
    <n v="0"/>
    <n v="0"/>
    <m/>
    <m/>
    <m/>
    <m/>
    <m/>
    <m/>
    <n v="9.9526560000000011"/>
    <m/>
    <m/>
    <n v="5.961588419580762"/>
    <m/>
    <m/>
    <m/>
    <m/>
    <m/>
    <m/>
    <m/>
    <m/>
    <m/>
    <m/>
    <m/>
    <m/>
    <n v="4.8272000000000004"/>
    <n v="-1.4233919999999989"/>
    <m/>
    <m/>
    <m/>
    <m/>
    <n v="-3.0741200000000006"/>
    <n v="0.76104000000000016"/>
    <n v="31"/>
    <n v="0.7927890245824365"/>
    <n v="0"/>
    <n v="0"/>
    <n v="0"/>
    <n v="0"/>
    <n v="0"/>
    <n v="0"/>
    <n v="0"/>
    <n v="0.10409025808257999"/>
    <n v="0"/>
    <n v="0"/>
    <n v="0.76102558221639516"/>
    <n v="0"/>
    <n v="0"/>
    <n v="0"/>
    <n v="7.7702703695741657E-3"/>
    <n v="0"/>
    <n v="-6.9544155294969601E-2"/>
    <m/>
    <n v="0"/>
    <n v="0"/>
    <n v="0"/>
    <n v="0"/>
    <n v="-8.4037038586334267E-3"/>
    <n v="-2.1492269325094418E-3"/>
    <n v="0"/>
    <n v="0"/>
    <m/>
    <m/>
    <m/>
    <n v="7.0786937703099797"/>
    <n v="0"/>
    <n v="0"/>
    <n v="-3.0741200000000006"/>
    <n v="0.76104000000000038"/>
    <n v="0"/>
    <n v="0"/>
    <n v="-3.1059347918726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5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51.1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36"/>
    <s v="Regular"/>
    <s v="Convencional"/>
    <s v="B2"/>
    <s v="Rural"/>
    <s v="Aquicultura"/>
    <s v="IRRIG./AQUIC."/>
    <s v="Não se aplica"/>
    <s v="Não se aplica"/>
    <s v="CATIVO"/>
    <x v="8"/>
    <n v="0"/>
    <n v="0"/>
    <n v="0.69499999999999995"/>
    <n v="0.69499999999999995"/>
    <n v="0.69499999999999995"/>
    <n v="0.69499999999999995"/>
    <m/>
    <n v="415.98"/>
    <n v="215.17"/>
    <m/>
    <n v="438.64924999999994"/>
    <n v="438.64924999999994"/>
    <n v="381.23529999999994"/>
    <n v="0"/>
    <n v="42.4551856754601"/>
    <n v="0"/>
    <n v="0"/>
    <n v="0"/>
    <n v="62.074326296544427"/>
    <n v="175.70329179876555"/>
    <n v="146.47954662133938"/>
    <n v="3.0628472323088829"/>
    <n v="0"/>
    <n v="0"/>
    <n v="0"/>
    <n v="0"/>
    <n v="6.5604152183862725"/>
    <m/>
    <n v="0.81829124779408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955945075402073"/>
    <n v="0"/>
    <n v="0"/>
    <n v="0"/>
    <n v="0"/>
    <n v="0"/>
    <m/>
    <m/>
    <m/>
    <m/>
    <m/>
    <n v="45.744899999999994"/>
    <m/>
    <m/>
    <m/>
    <n v="147.97514112887959"/>
    <m/>
    <m/>
    <m/>
    <m/>
    <m/>
    <m/>
    <m/>
    <m/>
    <m/>
    <m/>
    <m/>
    <m/>
    <n v="337.904"/>
    <n v="-48.13594999999998"/>
    <m/>
    <m/>
    <m/>
    <m/>
    <n v="-76.304050000000004"/>
    <n v="18.890100000000004"/>
    <n v="31"/>
    <n v="19.678156145885453"/>
    <n v="0"/>
    <n v="0"/>
    <n v="0"/>
    <n v="0"/>
    <n v="0"/>
    <n v="0"/>
    <n v="0"/>
    <n v="2.5836689059783282"/>
    <n v="0"/>
    <n v="0"/>
    <n v="18.889742130014127"/>
    <n v="0"/>
    <n v="0"/>
    <n v="0"/>
    <n v="0.19286921095907306"/>
    <n v="0"/>
    <n v="-1.72618528321442"/>
    <m/>
    <n v="0"/>
    <n v="0"/>
    <n v="0"/>
    <n v="0"/>
    <n v="-0.2085919350625085"/>
    <n v="-5.3346882789073735E-2"/>
    <n v="0"/>
    <n v="0"/>
    <m/>
    <m/>
    <m/>
    <n v="175.70329179876555"/>
    <n v="0"/>
    <n v="0"/>
    <n v="-76.304049999999989"/>
    <n v="18.890100000000018"/>
    <n v="0"/>
    <n v="0"/>
    <n v="-77.093738583981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7"/>
    <s v="Regular"/>
    <s v="Convencional"/>
    <s v="B2"/>
    <s v="Rural"/>
    <s v="Aquicultura"/>
    <s v="IRRIG./AQUIC. PR"/>
    <s v="Não se aplica"/>
    <s v="Não se aplica"/>
    <s v="CATIVO"/>
    <x v="8"/>
    <n v="0"/>
    <n v="0"/>
    <n v="2.907"/>
    <n v="1.1628000000000001"/>
    <n v="2.907"/>
    <n v="1.1628000000000001"/>
    <m/>
    <n v="415.98"/>
    <n v="215.17"/>
    <m/>
    <n v="1834.75305"/>
    <n v="1834.75305"/>
    <n v="1594.6057799999999"/>
    <n v="0"/>
    <n v="177.57874065980221"/>
    <n v="0"/>
    <n v="0"/>
    <n v="0"/>
    <n v="259.64038351662543"/>
    <n v="734.92009965325394"/>
    <n v="612.68495255860955"/>
    <n v="12.811074682477587"/>
    <n v="0"/>
    <n v="0"/>
    <n v="0"/>
    <n v="0"/>
    <n v="27.440470560933662"/>
    <m/>
    <n v="3.4226944709890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556737171501906"/>
    <n v="0"/>
    <n v="0"/>
    <n v="0"/>
    <n v="0"/>
    <n v="0"/>
    <m/>
    <m/>
    <m/>
    <m/>
    <m/>
    <m/>
    <n v="1033.2989639999998"/>
    <m/>
    <m/>
    <n v="618.94062627575977"/>
    <m/>
    <m/>
    <m/>
    <m/>
    <m/>
    <m/>
    <m/>
    <m/>
    <m/>
    <m/>
    <m/>
    <m/>
    <n v="559.95519999999999"/>
    <n v="-85.905548000000067"/>
    <m/>
    <m/>
    <m/>
    <m/>
    <n v="-319.15953000000007"/>
    <n v="79.012260000000026"/>
    <n v="31"/>
    <n v="82.308489087898351"/>
    <n v="0"/>
    <n v="0"/>
    <n v="0"/>
    <n v="0"/>
    <n v="0"/>
    <n v="0"/>
    <n v="0"/>
    <n v="10.806799294502127"/>
    <n v="0"/>
    <n v="0"/>
    <n v="79.010763125109406"/>
    <n v="0"/>
    <n v="0"/>
    <n v="0"/>
    <n v="0.80672057015543253"/>
    <n v="0"/>
    <n v="-7.2201735515170355"/>
    <m/>
    <n v="0"/>
    <n v="0"/>
    <n v="0"/>
    <n v="0"/>
    <n v="-0.87248453989455044"/>
    <n v="-0.22313581045732001"/>
    <n v="0"/>
    <n v="0"/>
    <m/>
    <m/>
    <m/>
    <n v="734.92009965325394"/>
    <n v="0"/>
    <n v="0"/>
    <n v="-319.15953000000002"/>
    <n v="79.012259999999969"/>
    <n v="0"/>
    <n v="0"/>
    <n v="-322.46258714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8"/>
    <s v="Regular"/>
    <s v="Convencional"/>
    <s v="B1"/>
    <s v="Residencial"/>
    <s v="Residencial"/>
    <s v="Não se aplica"/>
    <s v="Não se aplica"/>
    <s v="Não se aplica"/>
    <s v="CATIVO"/>
    <x v="9"/>
    <n v="0"/>
    <n v="0"/>
    <n v="476.57"/>
    <n v="476.57"/>
    <n v="476.57"/>
    <n v="476.57"/>
    <m/>
    <n v="415.98"/>
    <n v="215.17"/>
    <m/>
    <n v="300787.15549999999"/>
    <n v="300787.15549999999"/>
    <n v="261417.7078"/>
    <n v="0"/>
    <n v="29112.040053746794"/>
    <n v="0"/>
    <n v="0"/>
    <n v="0"/>
    <n v="42565.124723948458"/>
    <n v="120481.89607559382"/>
    <n v="100442.81659472189"/>
    <n v="2100.2318064768983"/>
    <n v="0"/>
    <n v="0"/>
    <n v="0"/>
    <n v="0"/>
    <n v="4498.5569505415051"/>
    <m/>
    <n v="561.11231649097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5.5474452639376"/>
    <n v="0"/>
    <n v="0"/>
    <n v="0"/>
    <n v="51539.360000000001"/>
    <n v="2835"/>
    <m/>
    <m/>
    <m/>
    <m/>
    <m/>
    <m/>
    <m/>
    <m/>
    <m/>
    <n v="101468.36403998583"/>
    <m/>
    <m/>
    <m/>
    <m/>
    <m/>
    <m/>
    <m/>
    <m/>
    <m/>
    <m/>
    <m/>
    <m/>
    <n v="261417.7078"/>
    <n v="-39369.477700000018"/>
    <m/>
    <m/>
    <m/>
    <m/>
    <n v="-52322.62030000001"/>
    <n v="12953.172600000004"/>
    <n v="30"/>
    <n v="13493.552337330475"/>
    <n v="0"/>
    <n v="0"/>
    <n v="0"/>
    <n v="0"/>
    <n v="0"/>
    <n v="0"/>
    <n v="0"/>
    <n v="1771.6533676576873"/>
    <n v="0"/>
    <n v="0"/>
    <n v="12952.927204173844"/>
    <n v="0"/>
    <n v="0"/>
    <n v="0"/>
    <n v="132.25277678671296"/>
    <n v="0"/>
    <n v="-1183.6663603187008"/>
    <m/>
    <n v="0"/>
    <n v="0"/>
    <n v="0"/>
    <n v="0"/>
    <n v="-143.03404099674754"/>
    <n v="-36.580609972358047"/>
    <n v="0"/>
    <n v="0"/>
    <m/>
    <m/>
    <m/>
    <n v="120481.89607559382"/>
    <n v="0"/>
    <n v="0"/>
    <n v="-52322.62030000001"/>
    <n v="12953.172600000005"/>
    <n v="0"/>
    <n v="0"/>
    <n v="-52864.119420097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39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7.0000000000000007E-2"/>
    <n v="-7.0000000000000007E-2"/>
    <n v="-7.0000000000000007E-2"/>
    <n v="-7.0000000000000007E-2"/>
    <m/>
    <n v="415.98"/>
    <n v="215.17"/>
    <m/>
    <n v="-44.180500000000009"/>
    <n v="-44.180500000000009"/>
    <n v="-38.397800000000004"/>
    <n v="0"/>
    <n v="-4.2760618665931043"/>
    <n v="0"/>
    <n v="0"/>
    <n v="0"/>
    <n v="-6.2520904183569934"/>
    <n v="-17.696734425774952"/>
    <n v="-14.753335630926273"/>
    <n v="-0.30848821044837671"/>
    <n v="0"/>
    <n v="0"/>
    <n v="0"/>
    <n v="0"/>
    <n v="-0.66076124501732247"/>
    <m/>
    <n v="-8.24178235188287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15063541802563241"/>
    <n v="0"/>
    <n v="0"/>
    <n v="0"/>
    <n v="-6.59"/>
    <n v="0"/>
    <m/>
    <m/>
    <m/>
    <m/>
    <m/>
    <m/>
    <m/>
    <m/>
    <m/>
    <n v="-14.903971048951906"/>
    <m/>
    <m/>
    <m/>
    <m/>
    <m/>
    <m/>
    <m/>
    <m/>
    <m/>
    <m/>
    <m/>
    <m/>
    <n v="-38.397800000000004"/>
    <n v="5.7526999999999973"/>
    <m/>
    <m/>
    <m/>
    <m/>
    <n v="7.6853000000000025"/>
    <n v="-1.9026000000000007"/>
    <n v="30"/>
    <n v="-1.981972561456093"/>
    <n v="0"/>
    <n v="0"/>
    <n v="0"/>
    <n v="0"/>
    <n v="0"/>
    <n v="0"/>
    <n v="0"/>
    <n v="-0.2602256452064502"/>
    <n v="0"/>
    <n v="0"/>
    <n v="-1.9025639555409875"/>
    <n v="0"/>
    <n v="0"/>
    <n v="0"/>
    <n v="-1.9425675923935432E-2"/>
    <n v="0"/>
    <n v="0.17386038823742389"/>
    <m/>
    <n v="0"/>
    <n v="0"/>
    <n v="0"/>
    <n v="0"/>
    <n v="2.1009259646583622E-2"/>
    <n v="5.373067331273601E-3"/>
    <n v="0"/>
    <n v="0"/>
    <m/>
    <m/>
    <m/>
    <n v="-17.696734425774952"/>
    <n v="0"/>
    <n v="0"/>
    <n v="7.6853000000000016"/>
    <n v="-1.9025999999999996"/>
    <n v="0"/>
    <n v="0"/>
    <n v="7.7648369796816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0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2.7589999999999999"/>
    <n v="2.7589999999999999"/>
    <n v="2.7589999999999999"/>
    <n v="2.7589999999999999"/>
    <m/>
    <n v="415.98"/>
    <n v="215.17"/>
    <m/>
    <n v="1741.34285"/>
    <n v="1741.34285"/>
    <n v="1513.4218599999999"/>
    <n v="0"/>
    <n v="168.53792414186248"/>
    <n v="0"/>
    <n v="0"/>
    <n v="0"/>
    <n v="246.42167806067062"/>
    <n v="697.50414686732972"/>
    <n v="581.49218579607975"/>
    <n v="12.158842466101019"/>
    <n v="0"/>
    <n v="0"/>
    <n v="0"/>
    <n v="0"/>
    <n v="26.043432500039891"/>
    <m/>
    <n v="3.2484396441206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371874047531392"/>
    <n v="0"/>
    <n v="0"/>
    <n v="0"/>
    <n v="827.69"/>
    <n v="19"/>
    <m/>
    <m/>
    <m/>
    <m/>
    <m/>
    <m/>
    <m/>
    <m/>
    <m/>
    <n v="587.42937320083286"/>
    <m/>
    <m/>
    <m/>
    <m/>
    <m/>
    <m/>
    <m/>
    <m/>
    <m/>
    <m/>
    <m/>
    <m/>
    <n v="1513.9703999999999"/>
    <n v="-227.40245000000004"/>
    <m/>
    <m/>
    <m/>
    <m/>
    <n v="-302.91061000000002"/>
    <n v="74.989620000000016"/>
    <n v="30"/>
    <n v="78.11803281510538"/>
    <n v="0"/>
    <n v="0"/>
    <n v="0"/>
    <n v="0"/>
    <n v="0"/>
    <n v="0"/>
    <n v="0"/>
    <n v="10.256607930351379"/>
    <n v="0"/>
    <n v="0"/>
    <n v="74.98819933339405"/>
    <n v="0"/>
    <n v="0"/>
    <n v="0"/>
    <n v="0.76564914105911175"/>
    <n v="0"/>
    <n v="-6.8525830163864612"/>
    <m/>
    <n v="0"/>
    <n v="0"/>
    <n v="0"/>
    <n v="0"/>
    <n v="-0.8280649623560592"/>
    <n v="-0.21177561095691289"/>
    <n v="0"/>
    <n v="0"/>
    <m/>
    <m/>
    <m/>
    <n v="697.50414686732972"/>
    <n v="0"/>
    <n v="0"/>
    <n v="-302.91061000000013"/>
    <n v="74.989620000000059"/>
    <n v="0"/>
    <n v="0"/>
    <n v="-306.0455032420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1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7.7990000000000004"/>
    <n v="7.7990000000000004"/>
    <n v="7.7990000000000004"/>
    <n v="7.7990000000000004"/>
    <m/>
    <n v="345.46"/>
    <n v="215.17"/>
    <m/>
    <n v="4372.3533700000007"/>
    <n v="4372.3533700000007"/>
    <n v="3749.7592"/>
    <n v="0"/>
    <n v="0"/>
    <n v="0"/>
    <n v="0"/>
    <n v="0"/>
    <n v="696.57218818237413"/>
    <n v="1971.6690255231263"/>
    <n v="1643.7323512227713"/>
    <n v="34.369993618384143"/>
    <n v="0"/>
    <n v="0"/>
    <n v="0"/>
    <n v="0"/>
    <n v="0"/>
    <m/>
    <n v="9.1825229374763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82937502598674"/>
    <n v="0"/>
    <n v="0"/>
    <n v="0"/>
    <n v="176.78"/>
    <n v="12"/>
    <m/>
    <m/>
    <m/>
    <m/>
    <m/>
    <m/>
    <m/>
    <n v="2437.34348"/>
    <m/>
    <n v="1660.5152887253701"/>
    <m/>
    <m/>
    <m/>
    <m/>
    <m/>
    <m/>
    <m/>
    <m/>
    <m/>
    <m/>
    <m/>
    <m/>
    <n v="1312.5839999999998"/>
    <n v="-217.76578000000018"/>
    <m/>
    <m/>
    <m/>
    <m/>
    <n v="-834.57098999999994"/>
    <n v="211.97682000000006"/>
    <n v="30"/>
    <n v="242.53131986633525"/>
    <n v="0"/>
    <n v="0"/>
    <n v="0"/>
    <n v="0"/>
    <n v="0"/>
    <n v="0"/>
    <n v="0"/>
    <n v="28.992854385215878"/>
    <n v="0"/>
    <n v="0"/>
    <n v="211.97280413234535"/>
    <n v="0"/>
    <n v="0"/>
    <n v="0"/>
    <n v="2.1642978075824608"/>
    <n v="0"/>
    <n v="0"/>
    <m/>
    <n v="0"/>
    <n v="0"/>
    <n v="0"/>
    <n v="0"/>
    <n v="0"/>
    <n v="-0.59863645880861327"/>
    <n v="0"/>
    <n v="0"/>
    <m/>
    <m/>
    <m/>
    <n v="1971.6690255231263"/>
    <n v="0"/>
    <n v="0"/>
    <n v="-834.57099000000017"/>
    <n v="211.97681999999986"/>
    <n v="0"/>
    <n v="0"/>
    <n v="-865.11376577909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2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5.46"/>
    <n v="15.46"/>
    <n v="15.46"/>
    <n v="15.46"/>
    <m/>
    <n v="345.46"/>
    <n v="215.17"/>
    <m/>
    <n v="8667.3397999999997"/>
    <n v="8667.3397999999997"/>
    <n v="7433.1679999999997"/>
    <n v="0"/>
    <n v="0"/>
    <n v="0"/>
    <n v="0"/>
    <n v="0"/>
    <n v="1380.8188266828445"/>
    <n v="3908.4502031782963"/>
    <n v="3258.3795550588593"/>
    <n v="68.131824764741481"/>
    <n v="0"/>
    <n v="0"/>
    <n v="0"/>
    <n v="0"/>
    <n v="0"/>
    <m/>
    <n v="18.20256502287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268908038232524"/>
    <n v="0"/>
    <n v="0"/>
    <n v="0"/>
    <n v="607.48"/>
    <n v="60"/>
    <m/>
    <m/>
    <m/>
    <m/>
    <m/>
    <m/>
    <m/>
    <n v="2973.2672000000002"/>
    <m/>
    <n v="3291.6484630970917"/>
    <m/>
    <m/>
    <m/>
    <m/>
    <m/>
    <m/>
    <m/>
    <m/>
    <m/>
    <m/>
    <m/>
    <m/>
    <n v="4459.9007999999994"/>
    <n v="-740.40940000000137"/>
    <m/>
    <m/>
    <m/>
    <m/>
    <n v="-1654.3745999999999"/>
    <n v="420.20280000000014"/>
    <n v="30"/>
    <n v="480.77115080568547"/>
    <n v="0"/>
    <n v="0"/>
    <n v="0"/>
    <n v="0"/>
    <n v="0"/>
    <n v="0"/>
    <n v="0"/>
    <n v="57.472692498453171"/>
    <n v="0"/>
    <n v="0"/>
    <n v="420.19483932376716"/>
    <n v="0"/>
    <n v="0"/>
    <n v="0"/>
    <n v="4.2902992826291708"/>
    <n v="0"/>
    <n v="0"/>
    <m/>
    <n v="0"/>
    <n v="0"/>
    <n v="0"/>
    <n v="0"/>
    <n v="0"/>
    <n v="-1.1866802991641414"/>
    <n v="0"/>
    <n v="0"/>
    <m/>
    <m/>
    <m/>
    <n v="3908.4502031782963"/>
    <n v="0"/>
    <n v="0"/>
    <n v="-1654.3746000000001"/>
    <n v="420.20280000000002"/>
    <n v="0"/>
    <n v="0"/>
    <n v="-1714.9197100839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3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4.611000000000001"/>
    <n v="14.611000000000001"/>
    <n v="14.611000000000001"/>
    <n v="14.611000000000001"/>
    <m/>
    <n v="345.46"/>
    <n v="215.17"/>
    <m/>
    <n v="8191.3649299999997"/>
    <n v="8191.3649299999997"/>
    <n v="7024.9688000000006"/>
    <n v="0"/>
    <n v="0"/>
    <n v="0"/>
    <n v="0"/>
    <n v="0"/>
    <n v="1304.9899014659147"/>
    <n v="3693.8140956428256"/>
    <n v="3079.4426700494823"/>
    <n v="64.390303469446181"/>
    <n v="0"/>
    <n v="0"/>
    <n v="0"/>
    <n v="0"/>
    <n v="0"/>
    <m/>
    <n v="17.202954563337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441915611035927"/>
    <n v="0"/>
    <n v="0"/>
    <n v="0"/>
    <n v="1414.96"/>
    <n v="123"/>
    <m/>
    <m/>
    <m/>
    <m/>
    <m/>
    <m/>
    <m/>
    <n v="702.6429899999996"/>
    <m/>
    <n v="3110.884585660518"/>
    <m/>
    <m/>
    <m/>
    <m/>
    <m/>
    <m/>
    <m/>
    <m/>
    <m/>
    <m/>
    <m/>
    <m/>
    <n v="6321.8930999999993"/>
    <n v="-1050.263060000003"/>
    <m/>
    <m/>
    <m/>
    <m/>
    <n v="-1563.5231099999999"/>
    <n v="397.12698000000012"/>
    <n v="30"/>
    <n v="454.36916458097585"/>
    <n v="0"/>
    <n v="0"/>
    <n v="0"/>
    <n v="0"/>
    <n v="0"/>
    <n v="0"/>
    <n v="0"/>
    <n v="54.316527173020631"/>
    <n v="0"/>
    <n v="0"/>
    <n v="397.11945649156269"/>
    <n v="0"/>
    <n v="0"/>
    <n v="0"/>
    <n v="4.0546935846374375"/>
    <n v="0"/>
    <n v="0"/>
    <m/>
    <n v="0"/>
    <n v="0"/>
    <n v="0"/>
    <n v="0"/>
    <n v="0"/>
    <n v="-1.1215126682462682"/>
    <n v="0"/>
    <n v="0"/>
    <m/>
    <m/>
    <m/>
    <n v="3693.8140956428256"/>
    <n v="0"/>
    <n v="0"/>
    <n v="-1563.5231100000001"/>
    <n v="397.12698000000046"/>
    <n v="0"/>
    <n v="0"/>
    <n v="-1620.743330144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4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3.9569999999999999"/>
    <n v="3.9569999999999999"/>
    <n v="3.9569999999999999"/>
    <n v="3.9569999999999999"/>
    <m/>
    <n v="345.46"/>
    <n v="215.17"/>
    <m/>
    <n v="2218.4129099999996"/>
    <n v="2218.4129099999996"/>
    <n v="1902.5255999999999"/>
    <n v="0"/>
    <n v="0"/>
    <n v="0"/>
    <n v="0"/>
    <n v="0"/>
    <n v="353.42173979198031"/>
    <n v="1000.3711160398782"/>
    <n v="833.98498702250356"/>
    <n v="17.438397839203237"/>
    <n v="0"/>
    <n v="0"/>
    <n v="0"/>
    <n v="0"/>
    <n v="0"/>
    <m/>
    <n v="4.6589618237715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152049875346769"/>
    <n v="0"/>
    <n v="0"/>
    <n v="0"/>
    <n v="634.04"/>
    <n v="65"/>
    <m/>
    <m/>
    <m/>
    <m/>
    <m/>
    <m/>
    <m/>
    <m/>
    <m/>
    <n v="842.50019201003829"/>
    <m/>
    <m/>
    <m/>
    <m/>
    <m/>
    <m/>
    <m/>
    <m/>
    <m/>
    <m/>
    <m/>
    <m/>
    <n v="1903.9679999999998"/>
    <n v="-314.47490999999991"/>
    <m/>
    <m/>
    <m/>
    <m/>
    <n v="-423.43856999999997"/>
    <n v="107.55126000000003"/>
    <n v="30"/>
    <n v="123.05378031941086"/>
    <n v="0"/>
    <n v="0"/>
    <n v="0"/>
    <n v="0"/>
    <n v="0"/>
    <n v="0"/>
    <n v="0"/>
    <n v="14.710183972598884"/>
    <n v="0"/>
    <n v="0"/>
    <n v="107.54922245822422"/>
    <n v="0"/>
    <n v="0"/>
    <n v="0"/>
    <n v="1.0981057090144635"/>
    <n v="0"/>
    <n v="0"/>
    <m/>
    <n v="0"/>
    <n v="0"/>
    <n v="0"/>
    <n v="0"/>
    <n v="0"/>
    <n v="-0.30373182042642366"/>
    <n v="0"/>
    <n v="0"/>
    <m/>
    <m/>
    <m/>
    <n v="1000.3711160398782"/>
    <n v="0"/>
    <n v="0"/>
    <n v="-423.43856999999991"/>
    <n v="107.55126000000007"/>
    <n v="0"/>
    <n v="0"/>
    <n v="-438.935141837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5"/>
    <s v="Regular"/>
    <s v="Convencional"/>
    <s v="B3"/>
    <s v="Industrial"/>
    <s v="Não se aplica"/>
    <s v="Não se aplica"/>
    <s v="Não se aplica"/>
    <s v="Não se aplica"/>
    <s v="CATIVO"/>
    <x v="9"/>
    <n v="0"/>
    <n v="0"/>
    <n v="24.045000000000002"/>
    <n v="24.045000000000002"/>
    <n v="24.045000000000002"/>
    <n v="24.045000000000002"/>
    <m/>
    <n v="415.98"/>
    <n v="215.17"/>
    <m/>
    <n v="15176.001749999999"/>
    <n v="15176.001749999999"/>
    <n v="13189.6443"/>
    <n v="0"/>
    <n v="1468.8272511747314"/>
    <n v="0"/>
    <n v="0"/>
    <n v="0"/>
    <n v="2147.5930587056273"/>
    <n v="6078.8282752536952"/>
    <n v="5067.7707892231747"/>
    <n v="105.96570028901741"/>
    <n v="0"/>
    <n v="0"/>
    <n v="0"/>
    <n v="0"/>
    <n v="226.97148766345026"/>
    <m/>
    <n v="28.310522378717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743266091804728"/>
    <n v="0"/>
    <n v="0"/>
    <n v="0"/>
    <n v="4396.34"/>
    <n v="41"/>
    <m/>
    <m/>
    <m/>
    <m/>
    <m/>
    <m/>
    <m/>
    <m/>
    <m/>
    <n v="5119.5140553149795"/>
    <m/>
    <m/>
    <m/>
    <m/>
    <m/>
    <m/>
    <m/>
    <m/>
    <m/>
    <m/>
    <m/>
    <m/>
    <n v="13192.386999999999"/>
    <n v="-1983.6447500000013"/>
    <m/>
    <m/>
    <m/>
    <m/>
    <n v="-2639.9005500000007"/>
    <n v="653.54310000000021"/>
    <n v="30"/>
    <n v="680.80757486016773"/>
    <n v="0"/>
    <n v="0"/>
    <n v="0"/>
    <n v="0"/>
    <n v="0"/>
    <n v="0"/>
    <n v="0"/>
    <n v="89.387509128415786"/>
    <n v="0"/>
    <n v="0"/>
    <n v="653.5307187283297"/>
    <n v="0"/>
    <n v="0"/>
    <n v="0"/>
    <n v="6.6727196798718182"/>
    <n v="0"/>
    <n v="-59.721043359555097"/>
    <m/>
    <n v="0"/>
    <n v="0"/>
    <n v="0"/>
    <n v="0"/>
    <n v="-7.2166806886014569"/>
    <n v="-1.8456486282924836"/>
    <n v="0"/>
    <n v="0"/>
    <m/>
    <m/>
    <m/>
    <n v="6078.8282752536952"/>
    <n v="0"/>
    <n v="0"/>
    <n v="-2639.9005500000003"/>
    <n v="653.54310000000078"/>
    <n v="0"/>
    <n v="0"/>
    <n v="-2667.221502520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6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2.9260000000000002"/>
    <n v="2.9260000000000002"/>
    <n v="2.9260000000000002"/>
    <n v="2.9260000000000002"/>
    <m/>
    <n v="415.98"/>
    <n v="215.17"/>
    <m/>
    <n v="1846.7449000000001"/>
    <n v="1846.7449000000001"/>
    <n v="1605.0280400000001"/>
    <n v="0"/>
    <n v="178.73938602359178"/>
    <n v="0"/>
    <n v="0"/>
    <n v="0"/>
    <n v="261.33737948732232"/>
    <n v="739.72349899739288"/>
    <n v="616.68942937271811"/>
    <n v="12.894807196742146"/>
    <n v="0"/>
    <n v="0"/>
    <n v="0"/>
    <n v="0"/>
    <n v="27.619820041724079"/>
    <m/>
    <n v="3.4450650230870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96560473471434"/>
    <n v="0"/>
    <n v="0"/>
    <n v="0"/>
    <n v="1302.5"/>
    <n v="3"/>
    <m/>
    <m/>
    <m/>
    <m/>
    <m/>
    <m/>
    <m/>
    <m/>
    <m/>
    <n v="622.98598984618957"/>
    <m/>
    <m/>
    <m/>
    <m/>
    <m/>
    <m/>
    <m/>
    <m/>
    <m/>
    <m/>
    <m/>
    <m/>
    <n v="1607.2222000000002"/>
    <n v="-239.55269999999996"/>
    <m/>
    <m/>
    <m/>
    <m/>
    <n v="-321.24554000000006"/>
    <n v="79.528680000000023"/>
    <n v="30"/>
    <n v="82.846453068864776"/>
    <n v="0"/>
    <n v="0"/>
    <n v="0"/>
    <n v="0"/>
    <n v="0"/>
    <n v="0"/>
    <n v="0"/>
    <n v="10.87743196962964"/>
    <n v="0"/>
    <n v="0"/>
    <n v="79.527173341613434"/>
    <n v="0"/>
    <n v="0"/>
    <n v="0"/>
    <n v="0.81199325362050079"/>
    <n v="0"/>
    <n v="-7.2673642283243396"/>
    <m/>
    <n v="0"/>
    <n v="0"/>
    <n v="0"/>
    <n v="0"/>
    <n v="-0.87818705322719381"/>
    <n v="-0.22459421444723704"/>
    <n v="0"/>
    <n v="0"/>
    <m/>
    <m/>
    <m/>
    <n v="739.72349899739288"/>
    <n v="0"/>
    <n v="0"/>
    <n v="-321.24554000000001"/>
    <n v="79.528680000000122"/>
    <n v="0"/>
    <n v="0"/>
    <n v="-324.57018575069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7"/>
    <s v="Regular"/>
    <s v="Verde"/>
    <s v="A4"/>
    <s v="Industrial"/>
    <s v="Não se aplica"/>
    <s v="Não se aplica"/>
    <s v="Não se aplica"/>
    <s v="Ponta"/>
    <s v="CATIVO"/>
    <x v="9"/>
    <n v="0"/>
    <n v="0"/>
    <n v="109.89700000000001"/>
    <n v="109.89700000000001"/>
    <n v="109.89700000000001"/>
    <n v="109.89700000000001"/>
    <m/>
    <n v="2184.0300000000002"/>
    <n v="215.17"/>
    <m/>
    <n v="263664.88240000006"/>
    <n v="263664.88240000006"/>
    <n v="198956.42983000001"/>
    <n v="0"/>
    <n v="5840.5134675584877"/>
    <n v="0"/>
    <n v="0"/>
    <n v="0"/>
    <n v="72421.492867431851"/>
    <n v="160551.61277701103"/>
    <n v="23162.104654741492"/>
    <n v="484.31326948064651"/>
    <n v="0"/>
    <n v="0"/>
    <n v="0"/>
    <n v="0"/>
    <n v="1037.3668363381241"/>
    <m/>
    <n v="75.814934190655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308041060060788"/>
    <n v="0"/>
    <n v="0"/>
    <n v="0"/>
    <n v="0"/>
    <n v="0"/>
    <m/>
    <m/>
    <m/>
    <m/>
    <m/>
    <m/>
    <m/>
    <m/>
    <m/>
    <n v="23253.412695801551"/>
    <m/>
    <m/>
    <m/>
    <m/>
    <m/>
    <m/>
    <m/>
    <m/>
    <m/>
    <m/>
    <m/>
    <m/>
    <n v="198961.86099999998"/>
    <n v="-64703.051400000113"/>
    <m/>
    <m/>
    <m/>
    <m/>
    <n v="-67695.453030000033"/>
    <n v="2987.0004600000011"/>
    <n v="30"/>
    <n v="5737.663686560496"/>
    <n v="0"/>
    <n v="0"/>
    <n v="0"/>
    <n v="0"/>
    <n v="0"/>
    <n v="0"/>
    <n v="0"/>
    <n v="3014.3405560654501"/>
    <n v="0"/>
    <n v="0"/>
    <n v="2986.9438717441153"/>
    <n v="0"/>
    <n v="0"/>
    <n v="0"/>
    <n v="11.774922777990554"/>
    <n v="0"/>
    <n v="-237.46942178472636"/>
    <m/>
    <n v="0"/>
    <n v="0"/>
    <n v="0"/>
    <n v="0"/>
    <n v="-32.983637248294258"/>
    <n v="-4.9426049940451833"/>
    <n v="0"/>
    <n v="0"/>
    <m/>
    <m/>
    <m/>
    <n v="160551.61277701103"/>
    <n v="0"/>
    <n v="0"/>
    <n v="-67695.453030000033"/>
    <n v="2987.0004600000029"/>
    <n v="0"/>
    <n v="0"/>
    <n v="-70445.601433828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8"/>
    <s v="Regular"/>
    <s v="Verde"/>
    <s v="A4"/>
    <s v="Industrial"/>
    <s v="Não se aplica"/>
    <s v="Não se aplica"/>
    <s v="Não se aplica"/>
    <s v="Fora ponta"/>
    <s v="CATIVO"/>
    <x v="9"/>
    <n v="0"/>
    <n v="0"/>
    <n v="2038.23"/>
    <n v="2038.23"/>
    <n v="2038.23"/>
    <n v="2038.23"/>
    <m/>
    <n v="64.11"/>
    <n v="215.17"/>
    <m/>
    <n v="569236.87439999997"/>
    <n v="569236.87439999997"/>
    <n v="619744.21380000003"/>
    <n v="0"/>
    <n v="108322.42704515807"/>
    <n v="0"/>
    <n v="0"/>
    <n v="0"/>
    <n v="0"/>
    <n v="0"/>
    <n v="429581.30404318363"/>
    <n v="8982.4275026027844"/>
    <n v="0"/>
    <n v="0"/>
    <n v="0"/>
    <n v="0"/>
    <n v="19239.762749023674"/>
    <m/>
    <n v="1406.1191235012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3.4655953287868"/>
    <n v="0"/>
    <n v="0"/>
    <n v="0"/>
    <n v="0"/>
    <n v="0"/>
    <m/>
    <m/>
    <m/>
    <m/>
    <m/>
    <m/>
    <m/>
    <m/>
    <m/>
    <n v="431274.7696385124"/>
    <m/>
    <m/>
    <m/>
    <m/>
    <m/>
    <m/>
    <m/>
    <m/>
    <m/>
    <m/>
    <m/>
    <m/>
    <n v="619744.21380000003"/>
    <n v="50507.309400000027"/>
    <m/>
    <m/>
    <m/>
    <m/>
    <n v="-4891.7519999999968"/>
    <n v="55399.091400000012"/>
    <n v="30"/>
    <n v="50508.739130903501"/>
    <n v="0"/>
    <n v="0"/>
    <n v="0"/>
    <n v="0"/>
    <n v="0"/>
    <n v="0"/>
    <n v="0"/>
    <n v="0"/>
    <n v="0"/>
    <n v="0"/>
    <n v="55398.041872890142"/>
    <n v="0"/>
    <n v="0"/>
    <n v="0"/>
    <n v="218.38631494748461"/>
    <n v="0"/>
    <n v="-4404.2812775988714"/>
    <m/>
    <n v="0"/>
    <n v="0"/>
    <n v="0"/>
    <n v="0"/>
    <n v="-611.73861842080078"/>
    <n v="-91.669160914426357"/>
    <n v="0"/>
    <n v="0"/>
    <m/>
    <m/>
    <m/>
    <n v="0"/>
    <n v="0"/>
    <n v="0"/>
    <n v="-4891.7519999999931"/>
    <n v="55399.0914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49"/>
    <s v="Regular"/>
    <s v="Verde"/>
    <s v="A4"/>
    <s v="Industrial"/>
    <s v="Não se aplica"/>
    <s v="Não se aplica"/>
    <s v="Não se aplica"/>
    <s v="Não se aplica"/>
    <s v="CATIVO"/>
    <x v="9"/>
    <n v="6754"/>
    <n v="6754"/>
    <n v="0"/>
    <n v="0"/>
    <n v="0"/>
    <n v="0"/>
    <n v="28.04"/>
    <m/>
    <m/>
    <n v="189382.16"/>
    <m/>
    <n v="189382.16"/>
    <n v="142239.24"/>
    <n v="0"/>
    <n v="0"/>
    <n v="0"/>
    <n v="0"/>
    <n v="0"/>
    <n v="74771.35512248204"/>
    <n v="114644.421526534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93327.63"/>
    <n v="16"/>
    <m/>
    <m/>
    <m/>
    <m/>
    <m/>
    <m/>
    <m/>
    <m/>
    <m/>
    <n v="0"/>
    <m/>
    <m/>
    <m/>
    <m/>
    <m/>
    <m/>
    <m/>
    <m/>
    <m/>
    <m/>
    <m/>
    <m/>
    <n v="142239.24"/>
    <n v="-47142.950000000041"/>
    <m/>
    <m/>
    <m/>
    <m/>
    <n v="-47142.920000000006"/>
    <n v="0"/>
    <n v="30"/>
    <n v="3112.1469504945999"/>
    <n v="0"/>
    <n v="0"/>
    <n v="0"/>
    <n v="0"/>
    <m/>
    <m/>
    <m/>
    <n v="3112.14695049459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644.42152653435"/>
    <m/>
    <n v="0"/>
    <n v="0"/>
    <n v="-47142.920000000013"/>
    <m/>
    <n v="0"/>
    <m/>
    <n v="-50302.797248676972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350"/>
    <s v="Regular"/>
    <s v="Convencional"/>
    <s v="B3"/>
    <s v="Comercial"/>
    <s v="Não se aplica"/>
    <s v="Não se aplica"/>
    <s v="Não se aplica"/>
    <s v="Não se aplica"/>
    <s v="CATIVO"/>
    <x v="9"/>
    <n v="0"/>
    <n v="0"/>
    <n v="165.26300000000001"/>
    <n v="165.26300000000001"/>
    <n v="165.26300000000001"/>
    <n v="165.26300000000001"/>
    <m/>
    <n v="415.98"/>
    <n v="215.17"/>
    <m/>
    <n v="104305.74244999999"/>
    <n v="104305.74244999999"/>
    <n v="90653.366020000001"/>
    <n v="0"/>
    <n v="10095.354460839661"/>
    <n v="0"/>
    <n v="0"/>
    <n v="0"/>
    <n v="14760.560268699026"/>
    <n v="41780.220305812079"/>
    <n v="34831.150091053831"/>
    <n v="728.30981604757255"/>
    <n v="0"/>
    <n v="0"/>
    <n v="0"/>
    <n v="0"/>
    <n v="1559.9912233613966"/>
    <m/>
    <n v="194.58023954560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.63515841671551"/>
    <n v="0"/>
    <n v="0"/>
    <n v="0"/>
    <n v="29586.09"/>
    <n v="442"/>
    <m/>
    <m/>
    <m/>
    <m/>
    <m/>
    <m/>
    <m/>
    <m/>
    <m/>
    <n v="35186.785249470544"/>
    <m/>
    <m/>
    <m/>
    <m/>
    <m/>
    <m/>
    <m/>
    <m/>
    <m/>
    <m/>
    <m/>
    <m/>
    <n v="90651.720399999991"/>
    <n v="-13654.052049999984"/>
    <m/>
    <m/>
    <m/>
    <m/>
    <n v="-18144.224770000004"/>
    <n v="4491.8483400000014"/>
    <n v="30"/>
    <n v="4679.2390203417162"/>
    <n v="0"/>
    <n v="0"/>
    <n v="0"/>
    <n v="0"/>
    <n v="0"/>
    <n v="0"/>
    <n v="0"/>
    <n v="614.36672576790806"/>
    <n v="0"/>
    <n v="0"/>
    <n v="4491.7632426367272"/>
    <n v="0"/>
    <n v="0"/>
    <n v="0"/>
    <n v="45.862078288819134"/>
    <n v="0"/>
    <n v="-410.46699058973536"/>
    <m/>
    <n v="0"/>
    <n v="0"/>
    <n v="0"/>
    <n v="0"/>
    <n v="-49.600761099619149"/>
    <n v="-12.685274662403884"/>
    <n v="0"/>
    <n v="0"/>
    <m/>
    <m/>
    <m/>
    <n v="41780.220305812079"/>
    <n v="0"/>
    <n v="0"/>
    <n v="-18144.224770000001"/>
    <n v="4491.8483400000041"/>
    <n v="0"/>
    <n v="0"/>
    <n v="-18332.003625330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6359999999999999"/>
    <n v="1.6359999999999999"/>
    <n v="1.6359999999999999"/>
    <n v="1.6359999999999999"/>
    <m/>
    <n v="415.98"/>
    <n v="215.17"/>
    <m/>
    <n v="1032.5614"/>
    <n v="1032.5614"/>
    <n v="897.41143999999986"/>
    <n v="0"/>
    <n v="99.937674482090259"/>
    <n v="0"/>
    <n v="0"/>
    <n v="0"/>
    <n v="146.12028463474343"/>
    <n v="413.59796457954019"/>
    <n v="344.80652988850539"/>
    <n v="7.2098101756220609"/>
    <n v="0"/>
    <n v="0"/>
    <n v="0"/>
    <n v="0"/>
    <n v="15.442934240690564"/>
    <m/>
    <n v="1.9262222753829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205649127133509"/>
    <n v="0"/>
    <n v="0"/>
    <n v="0"/>
    <n v="634.66"/>
    <n v="8"/>
    <m/>
    <m/>
    <m/>
    <m/>
    <m/>
    <m/>
    <m/>
    <m/>
    <m/>
    <n v="348.32709480121872"/>
    <m/>
    <m/>
    <m/>
    <m/>
    <m/>
    <m/>
    <m/>
    <m/>
    <m/>
    <m/>
    <m/>
    <m/>
    <n v="899.60559999999987"/>
    <n v="-132.98580000000015"/>
    <m/>
    <m/>
    <m/>
    <m/>
    <n v="-179.61644000000001"/>
    <n v="44.466480000000011"/>
    <n v="30"/>
    <n v="46.321530150602484"/>
    <n v="0"/>
    <n v="0"/>
    <n v="0"/>
    <n v="0"/>
    <n v="0"/>
    <n v="0"/>
    <n v="0"/>
    <n v="6.0818450793964587"/>
    <n v="0"/>
    <n v="0"/>
    <n v="44.46563758950083"/>
    <n v="0"/>
    <n v="0"/>
    <n v="0"/>
    <n v="0.45400579730797652"/>
    <n v="0"/>
    <n v="-4.0633656450917925"/>
    <m/>
    <n v="0"/>
    <n v="0"/>
    <n v="0"/>
    <n v="0"/>
    <n v="-0.49101641116872585"/>
    <n v="-0.12557625934233729"/>
    <n v="0"/>
    <n v="0"/>
    <m/>
    <m/>
    <m/>
    <n v="413.59796457954019"/>
    <n v="0"/>
    <n v="0"/>
    <n v="-179.61644000000001"/>
    <n v="44.46647999999999"/>
    <n v="0"/>
    <n v="0"/>
    <n v="-181.47533283941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2"/>
    <s v="Regular"/>
    <s v="Verde"/>
    <s v="A4"/>
    <s v="Comercial"/>
    <s v="Não se aplica"/>
    <s v="Não se aplica"/>
    <s v="Não se aplica"/>
    <s v="Ponta"/>
    <s v="CATIVO"/>
    <x v="9"/>
    <n v="0"/>
    <n v="0"/>
    <n v="2.3119999999999998"/>
    <n v="2.3119999999999998"/>
    <n v="2.3119999999999998"/>
    <n v="2.3119999999999998"/>
    <m/>
    <n v="2184.0300000000002"/>
    <n v="215.17"/>
    <m/>
    <n v="5546.9503999999997"/>
    <n v="5546.9503999999997"/>
    <n v="4185.6216799999993"/>
    <n v="0"/>
    <n v="122.87202687057174"/>
    <n v="0"/>
    <n v="0"/>
    <n v="0"/>
    <n v="1523.5947433460642"/>
    <n v="3377.6657118979538"/>
    <n v="487.28159969573625"/>
    <n v="10.188924893666384"/>
    <n v="0"/>
    <n v="0"/>
    <n v="0"/>
    <n v="0"/>
    <n v="21.82399997828642"/>
    <m/>
    <n v="1.5949855578295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20927695304335"/>
    <n v="0"/>
    <n v="0"/>
    <n v="0"/>
    <n v="0"/>
    <n v="0"/>
    <m/>
    <m/>
    <m/>
    <m/>
    <m/>
    <m/>
    <m/>
    <m/>
    <m/>
    <n v="489.20252739104058"/>
    <m/>
    <m/>
    <m/>
    <m/>
    <m/>
    <m/>
    <m/>
    <m/>
    <m/>
    <m/>
    <m/>
    <m/>
    <n v="4182.0009"/>
    <n v="-1364.9795000000004"/>
    <m/>
    <m/>
    <m/>
    <m/>
    <n v="-1424.1688800000004"/>
    <n v="62.840160000000012"/>
    <n v="30"/>
    <n v="120.70828542478694"/>
    <n v="0"/>
    <n v="0"/>
    <n v="0"/>
    <n v="0"/>
    <n v="0"/>
    <n v="0"/>
    <n v="0"/>
    <n v="63.415337685499253"/>
    <n v="0"/>
    <n v="0"/>
    <n v="62.838969503010901"/>
    <n v="0"/>
    <n v="0"/>
    <n v="0"/>
    <n v="0.2477194233028579"/>
    <n v="0"/>
    <n v="-4.9958534188038755"/>
    <m/>
    <n v="0"/>
    <n v="0"/>
    <n v="0"/>
    <n v="0"/>
    <n v="-0.69390583289859009"/>
    <n v="-0.10398193532337063"/>
    <n v="0"/>
    <n v="0"/>
    <m/>
    <m/>
    <m/>
    <n v="3377.6657118979538"/>
    <n v="0"/>
    <n v="0"/>
    <n v="-1424.1688800000002"/>
    <n v="62.840160000000026"/>
    <n v="0"/>
    <n v="0"/>
    <n v="-1482.0261746454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3"/>
    <s v="Regular"/>
    <s v="Verde"/>
    <s v="A4"/>
    <s v="Comercial"/>
    <s v="Não se aplica"/>
    <s v="Não se aplica"/>
    <s v="Não se aplica"/>
    <s v="Fora ponta"/>
    <s v="CATIVO"/>
    <x v="9"/>
    <n v="0"/>
    <n v="0"/>
    <n v="24.952999999999999"/>
    <n v="24.952999999999999"/>
    <n v="24.952999999999999"/>
    <n v="24.952999999999999"/>
    <m/>
    <n v="64.11"/>
    <n v="215.17"/>
    <m/>
    <n v="6968.8738399999993"/>
    <n v="6968.8738399999993"/>
    <n v="7587.2091799999998"/>
    <n v="0"/>
    <n v="1326.1356775524987"/>
    <n v="0"/>
    <n v="0"/>
    <n v="0"/>
    <n v="0"/>
    <n v="0"/>
    <n v="5259.1426285500465"/>
    <n v="109.96723307597634"/>
    <n v="0"/>
    <n v="0"/>
    <n v="0"/>
    <n v="0"/>
    <n v="235.54250495596065"/>
    <m/>
    <n v="17.214392138633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32226981370708"/>
    <n v="0"/>
    <n v="0"/>
    <n v="0"/>
    <n v="0"/>
    <n v="0"/>
    <m/>
    <m/>
    <m/>
    <m/>
    <m/>
    <m/>
    <m/>
    <m/>
    <m/>
    <n v="5279.8748555314169"/>
    <m/>
    <m/>
    <m/>
    <m/>
    <m/>
    <m/>
    <m/>
    <m/>
    <m/>
    <m/>
    <m/>
    <m/>
    <n v="7586.2969999999996"/>
    <n v="617.39315999999963"/>
    <m/>
    <m/>
    <m/>
    <m/>
    <n v="-59.887199999999964"/>
    <n v="678.22254000000021"/>
    <n v="30"/>
    <n v="618.3524761844501"/>
    <n v="0"/>
    <n v="0"/>
    <n v="0"/>
    <n v="0"/>
    <n v="0"/>
    <n v="0"/>
    <n v="0"/>
    <n v="0"/>
    <n v="0"/>
    <n v="0"/>
    <n v="678.20969118020366"/>
    <n v="0"/>
    <n v="0"/>
    <n v="0"/>
    <n v="2.6735911633547609"/>
    <n v="0"/>
    <n v="-53.919347041268566"/>
    <m/>
    <n v="0"/>
    <n v="0"/>
    <n v="0"/>
    <n v="0"/>
    <n v="-7.4892007994457117"/>
    <n v="-1.1222583183927632"/>
    <n v="0"/>
    <n v="0"/>
    <m/>
    <m/>
    <m/>
    <n v="0"/>
    <n v="0"/>
    <n v="0"/>
    <n v="-59.887200000000121"/>
    <n v="678.2225400000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4"/>
    <s v="Regular"/>
    <s v="Verde"/>
    <s v="A4"/>
    <s v="Comercial"/>
    <s v="Não se aplica"/>
    <s v="Não se aplica"/>
    <s v="Não se aplica"/>
    <s v="Não se aplica"/>
    <s v="CATIVO"/>
    <x v="9"/>
    <n v="110"/>
    <n v="110"/>
    <n v="0"/>
    <n v="0"/>
    <n v="0"/>
    <n v="0"/>
    <n v="28.04"/>
    <m/>
    <m/>
    <n v="3084.4"/>
    <m/>
    <n v="3084.4"/>
    <n v="2316.6"/>
    <n v="0"/>
    <n v="0"/>
    <n v="0"/>
    <n v="0"/>
    <n v="0"/>
    <n v="1217.7745133954729"/>
    <n v="1867.17298903150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13.75"/>
    <n v="1"/>
    <m/>
    <m/>
    <m/>
    <m/>
    <m/>
    <m/>
    <m/>
    <m/>
    <m/>
    <n v="0"/>
    <m/>
    <m/>
    <m/>
    <m/>
    <m/>
    <m/>
    <m/>
    <m/>
    <m/>
    <m/>
    <m/>
    <m/>
    <n v="2316.6"/>
    <n v="-767.83000000000084"/>
    <m/>
    <m/>
    <m/>
    <m/>
    <n v="-767.80000000000007"/>
    <n v="0"/>
    <n v="30"/>
    <n v="50.686432418478944"/>
    <n v="0"/>
    <n v="0"/>
    <n v="0"/>
    <n v="0"/>
    <m/>
    <m/>
    <m/>
    <n v="50.6864324184789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67.1729890315041"/>
    <m/>
    <n v="0"/>
    <n v="0"/>
    <n v="-767.80000000000018"/>
    <m/>
    <n v="0"/>
    <m/>
    <n v="-819.26379883838717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355"/>
    <s v="Regular"/>
    <s v="Branca"/>
    <s v="B3"/>
    <s v="Comercial"/>
    <s v="Não se aplica"/>
    <s v="Não se aplica"/>
    <s v="Não se aplica"/>
    <s v="Ponta"/>
    <s v="CATIVO"/>
    <x v="9"/>
    <n v="0"/>
    <n v="0"/>
    <n v="0.08"/>
    <n v="0.08"/>
    <n v="0.08"/>
    <n v="0.08"/>
    <m/>
    <n v="1254.27"/>
    <n v="215.17"/>
    <m/>
    <n v="117.5552"/>
    <n v="117.5552"/>
    <n v="89.933600000000013"/>
    <n v="0"/>
    <n v="4.8869278475349764"/>
    <n v="0"/>
    <n v="0"/>
    <n v="0"/>
    <n v="24.657263868983843"/>
    <n v="69.775675229258965"/>
    <n v="16.86095500677288"/>
    <n v="0.35255795479814483"/>
    <n v="0"/>
    <n v="0"/>
    <n v="0"/>
    <n v="0"/>
    <n v="0.75515570859122561"/>
    <m/>
    <n v="9.41917983072328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7215476345786559"/>
    <n v="0"/>
    <n v="0"/>
    <n v="0"/>
    <n v="0"/>
    <n v="0"/>
    <m/>
    <m/>
    <m/>
    <m/>
    <m/>
    <m/>
    <m/>
    <m/>
    <m/>
    <n v="17.033109770230745"/>
    <m/>
    <m/>
    <m/>
    <m/>
    <m/>
    <m/>
    <m/>
    <m/>
    <m/>
    <m/>
    <m/>
    <m/>
    <n v="89.933600000000013"/>
    <n v="-27.651600000000002"/>
    <m/>
    <m/>
    <m/>
    <m/>
    <n v="-29.795999999999996"/>
    <n v="2.1744000000000008"/>
    <n v="30"/>
    <n v="2.9939998855413634"/>
    <n v="0"/>
    <n v="0"/>
    <n v="0"/>
    <n v="0"/>
    <n v="0"/>
    <n v="0"/>
    <n v="0"/>
    <n v="1.0262891241131982"/>
    <n v="0"/>
    <n v="0"/>
    <n v="2.1743588063325596"/>
    <n v="0"/>
    <n v="0"/>
    <n v="0"/>
    <n v="2.2200772484497616E-2"/>
    <n v="0"/>
    <n v="-0.19869758655705638"/>
    <m/>
    <n v="0"/>
    <n v="0"/>
    <n v="0"/>
    <n v="0"/>
    <n v="-2.4010582453238394E-2"/>
    <n v="-6.1406483785984151E-3"/>
    <n v="0"/>
    <n v="0"/>
    <m/>
    <m/>
    <m/>
    <n v="69.775675229258965"/>
    <n v="0"/>
    <n v="0"/>
    <n v="-29.795999999999992"/>
    <n v="2.1744000000000021"/>
    <n v="0"/>
    <n v="0"/>
    <n v="-30.615633950707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6"/>
    <s v="Regular"/>
    <s v="Branca"/>
    <s v="B3"/>
    <s v="Comercial"/>
    <s v="Não se aplica"/>
    <s v="Não se aplica"/>
    <s v="Não se aplica"/>
    <s v="Fora ponta"/>
    <s v="CATIVO"/>
    <x v="9"/>
    <n v="0"/>
    <n v="0"/>
    <n v="0.79100000000000004"/>
    <n v="0.79100000000000004"/>
    <n v="0.79100000000000004"/>
    <n v="0.79100000000000004"/>
    <m/>
    <n v="309.91000000000003"/>
    <n v="215.17"/>
    <m/>
    <n v="415.33828000000005"/>
    <n v="415.33828000000005"/>
    <n v="376.27869999999996"/>
    <n v="0"/>
    <n v="48.319499092502078"/>
    <n v="0"/>
    <n v="0"/>
    <n v="0"/>
    <n v="48.738786290284679"/>
    <n v="137.98152857846512"/>
    <n v="166.71269262946686"/>
    <n v="3.4859167780666569"/>
    <n v="0"/>
    <n v="0"/>
    <n v="0"/>
    <n v="0"/>
    <n v="7.4666020686957433"/>
    <m/>
    <n v="0.93132140576276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021802236896462"/>
    <n v="0"/>
    <n v="0"/>
    <n v="0"/>
    <n v="0"/>
    <n v="0"/>
    <m/>
    <m/>
    <m/>
    <m/>
    <m/>
    <m/>
    <m/>
    <m/>
    <m/>
    <n v="168.41487285315651"/>
    <m/>
    <m/>
    <m/>
    <m/>
    <m/>
    <m/>
    <m/>
    <m/>
    <m/>
    <m/>
    <m/>
    <m/>
    <n v="375.803"/>
    <n v="-39.56528000000003"/>
    <m/>
    <m/>
    <m/>
    <m/>
    <n v="-60.558960000000027"/>
    <n v="21.499380000000006"/>
    <n v="30"/>
    <n v="21.484354786533061"/>
    <n v="0"/>
    <n v="0"/>
    <n v="0"/>
    <n v="0"/>
    <n v="0"/>
    <n v="0"/>
    <n v="0"/>
    <n v="2.0286146329121308"/>
    <n v="0"/>
    <n v="0"/>
    <n v="21.498972697613198"/>
    <n v="0"/>
    <n v="0"/>
    <n v="0"/>
    <n v="0.21951013794047025"/>
    <n v="0"/>
    <n v="-1.9646223870828905"/>
    <m/>
    <n v="0"/>
    <n v="0"/>
    <n v="0"/>
    <n v="0"/>
    <n v="-0.23740463400639378"/>
    <n v="-6.071566084339175E-2"/>
    <n v="0"/>
    <n v="0"/>
    <m/>
    <m/>
    <m/>
    <n v="137.98152857846512"/>
    <n v="0"/>
    <n v="0"/>
    <n v="-60.558960000000042"/>
    <n v="21.499380000000002"/>
    <n v="0"/>
    <n v="0"/>
    <n v="-60.54247353447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7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9.2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58"/>
    <s v="Regular"/>
    <s v="Branca"/>
    <s v="B3"/>
    <s v="Comercial"/>
    <s v="Não se aplica"/>
    <s v="Não se aplica"/>
    <s v="Não se aplica"/>
    <s v="Intermediário"/>
    <s v="CATIVO"/>
    <x v="9"/>
    <n v="0"/>
    <n v="0"/>
    <n v="5.1999999999999998E-2"/>
    <n v="5.1999999999999998E-2"/>
    <n v="5.1999999999999998E-2"/>
    <n v="5.1999999999999998E-2"/>
    <m/>
    <n v="782.07"/>
    <n v="215.17"/>
    <m/>
    <n v="51.856479999999998"/>
    <n v="51.856479999999998"/>
    <n v="41.595320000000001"/>
    <n v="0"/>
    <n v="3.1765031008977345"/>
    <n v="0"/>
    <n v="0"/>
    <n v="0"/>
    <n v="9.6144963196870119"/>
    <n v="27.212509039628795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39.9955"/>
    <n v="-11.890979999999992"/>
    <m/>
    <m/>
    <m/>
    <m/>
    <n v="-11.674520000000005"/>
    <n v="1.4133600000000004"/>
    <n v="30"/>
    <n v="1.6791883104818162"/>
    <n v="0"/>
    <n v="0"/>
    <n v="0"/>
    <n v="0"/>
    <n v="0"/>
    <n v="0"/>
    <n v="0"/>
    <n v="0.40017631555350874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27.212509039628795"/>
    <n v="0"/>
    <n v="0"/>
    <n v="-11.674520000000001"/>
    <n v="1.4133600000000008"/>
    <n v="0"/>
    <n v="0"/>
    <n v="-11.94009535415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59"/>
    <s v="Regular"/>
    <s v="Convencional"/>
    <s v="B2"/>
    <s v="Rural"/>
    <s v="Não se aplica"/>
    <s v="Não se aplica"/>
    <s v="Não se aplica"/>
    <s v="Não se aplica"/>
    <s v="CATIVO"/>
    <x v="9"/>
    <n v="0"/>
    <n v="0"/>
    <n v="383.12400000000002"/>
    <n v="383.12400000000002"/>
    <n v="383.12400000000002"/>
    <n v="383.12400000000002"/>
    <m/>
    <n v="415.98"/>
    <n v="215.17"/>
    <m/>
    <n v="241808.7126"/>
    <n v="241808.7126"/>
    <n v="210158.83896000002"/>
    <n v="0"/>
    <n v="23403.741808237381"/>
    <n v="0"/>
    <n v="0"/>
    <n v="0"/>
    <n v="34218.941277751495"/>
    <n v="96857.766859151452"/>
    <n v="80747.956575185672"/>
    <n v="1688.4176734260554"/>
    <n v="0"/>
    <n v="0"/>
    <n v="0"/>
    <n v="0"/>
    <n v="3616.4784462288094"/>
    <m/>
    <n v="451.08923168325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4.45776993789127"/>
    <n v="0"/>
    <n v="0"/>
    <n v="0"/>
    <n v="40200.959999999999"/>
    <n v="1543"/>
    <m/>
    <m/>
    <m/>
    <m/>
    <m/>
    <n v="25217.221679999999"/>
    <m/>
    <m/>
    <m/>
    <n v="81572.414345123558"/>
    <m/>
    <m/>
    <m/>
    <m/>
    <m/>
    <m/>
    <m/>
    <m/>
    <m/>
    <m/>
    <m/>
    <m/>
    <n v="184939.68640000001"/>
    <n v="-27851.244440000039"/>
    <m/>
    <m/>
    <m/>
    <m/>
    <n v="-42063.183960000009"/>
    <n v="10413.310320000004"/>
    <n v="30"/>
    <n v="10847.732223361498"/>
    <n v="0"/>
    <n v="0"/>
    <n v="0"/>
    <n v="0"/>
    <n v="0"/>
    <n v="0"/>
    <n v="0"/>
    <n v="1424.267001343942"/>
    <n v="0"/>
    <n v="0"/>
    <n v="10413.113041466946"/>
    <n v="0"/>
    <n v="0"/>
    <n v="0"/>
    <n v="106.3206094668833"/>
    <n v="0"/>
    <n v="-951.57267690106892"/>
    <m/>
    <n v="0"/>
    <n v="0"/>
    <n v="0"/>
    <n v="0"/>
    <n v="-114.98787989768152"/>
    <n v="-29.407872117526722"/>
    <n v="0"/>
    <n v="0"/>
    <m/>
    <m/>
    <m/>
    <n v="96857.766859151452"/>
    <n v="0"/>
    <n v="0"/>
    <n v="-42063.183959999995"/>
    <n v="10413.310320000004"/>
    <n v="0"/>
    <n v="0"/>
    <n v="-42498.505757193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0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4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6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7.4859999999999998"/>
    <n v="7.4859999999999998"/>
    <n v="7.4859999999999998"/>
    <n v="7.4859999999999998"/>
    <m/>
    <n v="415.98"/>
    <n v="215.17"/>
    <m/>
    <n v="4724.7888999999996"/>
    <n v="4724.7888999999996"/>
    <n v="4106.3704399999997"/>
    <n v="0"/>
    <n v="457.29427333308536"/>
    <n v="0"/>
    <n v="0"/>
    <n v="0"/>
    <n v="668.61641245457781"/>
    <n v="1892.5393415907324"/>
    <n v="1577.7638647587723"/>
    <n v="32.990610620236396"/>
    <n v="0"/>
    <n v="0"/>
    <n v="0"/>
    <n v="0"/>
    <n v="70.663695431423932"/>
    <m/>
    <n v="8.8139975265993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109381990569773"/>
    <n v="0"/>
    <n v="0"/>
    <n v="0"/>
    <n v="2361.9899999999998"/>
    <n v="22"/>
    <m/>
    <m/>
    <m/>
    <m/>
    <m/>
    <n v="492.72851999999989"/>
    <m/>
    <m/>
    <m/>
    <n v="1593.8732467493421"/>
    <m/>
    <m/>
    <m/>
    <m/>
    <m/>
    <m/>
    <m/>
    <m/>
    <m/>
    <m/>
    <m/>
    <m/>
    <n v="3615.5727999999999"/>
    <n v="-542.25646000000052"/>
    <m/>
    <m/>
    <m/>
    <m/>
    <n v="-821.88794000000007"/>
    <n v="203.46948000000003"/>
    <n v="30"/>
    <n v="211.95780850086157"/>
    <n v="0"/>
    <n v="0"/>
    <n v="0"/>
    <n v="0"/>
    <n v="0"/>
    <n v="0"/>
    <n v="0"/>
    <n v="27.829274000221289"/>
    <n v="0"/>
    <n v="0"/>
    <n v="203.46562530256915"/>
    <n v="0"/>
    <n v="0"/>
    <n v="0"/>
    <n v="2.077437285236865"/>
    <n v="0"/>
    <n v="-18.593126662076486"/>
    <m/>
    <n v="0"/>
    <n v="0"/>
    <n v="0"/>
    <n v="0"/>
    <n v="-2.2467902530617749"/>
    <n v="-0.57461117202734613"/>
    <n v="0"/>
    <n v="0"/>
    <m/>
    <m/>
    <m/>
    <n v="1892.5393415907324"/>
    <n v="0"/>
    <n v="0"/>
    <n v="-821.88794000000007"/>
    <n v="203.4694800000002"/>
    <n v="0"/>
    <n v="0"/>
    <n v="-830.39385185566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6.954000000000001"/>
    <n v="26.954000000000001"/>
    <n v="26.954000000000001"/>
    <n v="26.954000000000001"/>
    <m/>
    <n v="415.98"/>
    <n v="215.17"/>
    <m/>
    <n v="17012.017100000001"/>
    <n v="17012.017100000001"/>
    <n v="14785.347160000001"/>
    <n v="0"/>
    <n v="1646.528165030722"/>
    <n v="0"/>
    <n v="0"/>
    <n v="0"/>
    <n v="2407.4120733770628"/>
    <n v="6814.2539958905427"/>
    <n v="5680.8772656569527"/>
    <n v="118.78558892036494"/>
    <n v="0"/>
    <n v="0"/>
    <n v="0"/>
    <n v="0"/>
    <n v="254.43083711709869"/>
    <m/>
    <n v="31.7355716446644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003243678041365"/>
    <n v="0"/>
    <n v="0"/>
    <n v="0"/>
    <n v="4069.38"/>
    <n v="50"/>
    <m/>
    <m/>
    <m/>
    <m/>
    <m/>
    <m/>
    <m/>
    <m/>
    <m/>
    <n v="5738.8805093349938"/>
    <m/>
    <m/>
    <m/>
    <m/>
    <m/>
    <m/>
    <m/>
    <m/>
    <m/>
    <m/>
    <m/>
    <m/>
    <n v="14783.152999999998"/>
    <n v="-2228.8941000000013"/>
    <m/>
    <m/>
    <m/>
    <m/>
    <n v="-2959.2796600000006"/>
    <n v="732.60972000000015"/>
    <n v="30"/>
    <n v="763.17269173553905"/>
    <n v="0"/>
    <n v="0"/>
    <n v="0"/>
    <n v="0"/>
    <n v="0"/>
    <n v="0"/>
    <n v="0"/>
    <n v="100.20174344135239"/>
    <n v="0"/>
    <n v="0"/>
    <n v="732.59584082359834"/>
    <n v="0"/>
    <n v="0"/>
    <n v="0"/>
    <n v="7.4799952693393621"/>
    <n v="0"/>
    <n v="-66.946184350736075"/>
    <m/>
    <n v="0"/>
    <n v="0"/>
    <n v="0"/>
    <n v="0"/>
    <n v="-8.0897654930573424"/>
    <n v="-2.0689379549592672"/>
    <n v="0"/>
    <n v="0"/>
    <m/>
    <m/>
    <m/>
    <n v="6814.2539958905427"/>
    <n v="0"/>
    <n v="0"/>
    <n v="-2959.2796600000001"/>
    <n v="732.60972000000038"/>
    <n v="0"/>
    <n v="0"/>
    <n v="-2989.9059421476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110.32899999999999"/>
    <n v="110.32899999999999"/>
    <n v="110.32899999999999"/>
    <n v="110.32899999999999"/>
    <m/>
    <n v="228.79"/>
    <n v="118.34"/>
    <m/>
    <n v="38298.505769999996"/>
    <n v="38298.505769999996"/>
    <n v="33285.156009999999"/>
    <n v="0"/>
    <n v="3706.7928046234624"/>
    <n v="0"/>
    <n v="0"/>
    <n v="0"/>
    <n v="5419.754086740003"/>
    <n v="15340.780812196146"/>
    <n v="12789.234596477874"/>
    <n v="267.41939534010658"/>
    <n v="0"/>
    <n v="0"/>
    <n v="0"/>
    <n v="0"/>
    <n v="572.79457244048456"/>
    <m/>
    <n v="71.4455975436412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58143242060643"/>
    <n v="0"/>
    <n v="0"/>
    <n v="0"/>
    <n v="11094.63"/>
    <n v="87"/>
    <m/>
    <m/>
    <m/>
    <m/>
    <m/>
    <m/>
    <m/>
    <m/>
    <m/>
    <n v="12919.81602889848"/>
    <m/>
    <m/>
    <m/>
    <m/>
    <m/>
    <m/>
    <m/>
    <m/>
    <m/>
    <m/>
    <m/>
    <m/>
    <n v="33285.457699999999"/>
    <n v="-5013.0780699999959"/>
    <m/>
    <m/>
    <m/>
    <m/>
    <n v="-6662.7683099999977"/>
    <n v="1649.4185499999987"/>
    <n v="30"/>
    <n v="1718.1139700442036"/>
    <n v="0"/>
    <n v="0"/>
    <n v="0"/>
    <n v="0"/>
    <n v="0"/>
    <n v="0"/>
    <n v="0"/>
    <n v="225.58199093556959"/>
    <n v="0"/>
    <n v="0"/>
    <n v="1649.2769751141423"/>
    <n v="0"/>
    <n v="0"/>
    <n v="0"/>
    <n v="16.839549563665713"/>
    <n v="0"/>
    <n v="-150.71447893736104"/>
    <m/>
    <n v="0"/>
    <n v="0"/>
    <n v="0"/>
    <n v="0"/>
    <n v="-18.212311916448698"/>
    <n v="-4.6577547153666075"/>
    <n v="0"/>
    <n v="0"/>
    <m/>
    <m/>
    <m/>
    <n v="15340.780812196146"/>
    <n v="0"/>
    <n v="0"/>
    <n v="-6662.7683099999995"/>
    <n v="1649.4185500000003"/>
    <n v="0"/>
    <n v="0"/>
    <n v="-6731.1097788887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0.315000000000001"/>
    <n v="19.0961"/>
    <n v="20.315000000000001"/>
    <n v="19.0961"/>
    <m/>
    <n v="415.98"/>
    <n v="215.17"/>
    <m/>
    <n v="12821.812249999999"/>
    <n v="12821.812249999999"/>
    <n v="11143.590100000001"/>
    <n v="0"/>
    <n v="1240.9742402834131"/>
    <n v="0"/>
    <n v="0"/>
    <n v="0"/>
    <n v="1814.4459549846047"/>
    <n v="5135.8451408516876"/>
    <n v="4281.6287620323883"/>
    <n v="89.527685646553905"/>
    <n v="0"/>
    <n v="0"/>
    <n v="0"/>
    <n v="0"/>
    <n v="191.76235275038437"/>
    <m/>
    <n v="23.918829782642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16550245581743"/>
    <n v="0"/>
    <n v="0"/>
    <n v="0"/>
    <n v="3714.51"/>
    <n v="4"/>
    <m/>
    <m/>
    <m/>
    <m/>
    <n v="668.6154060000008"/>
    <m/>
    <m/>
    <m/>
    <m/>
    <n v="4325.3453122779702"/>
    <m/>
    <m/>
    <m/>
    <m/>
    <m/>
    <m/>
    <m/>
    <m/>
    <m/>
    <m/>
    <m/>
    <m/>
    <n v="10477.114000000001"/>
    <n v="-1575.4195149999996"/>
    <m/>
    <m/>
    <m/>
    <m/>
    <n v="-2230.3838500000006"/>
    <n v="552.16170000000022"/>
    <n v="30"/>
    <n v="575.19675122829267"/>
    <n v="0"/>
    <n v="0"/>
    <n v="0"/>
    <n v="0"/>
    <n v="0"/>
    <n v="0"/>
    <n v="0"/>
    <n v="75.521199748128993"/>
    <n v="0"/>
    <n v="0"/>
    <n v="552.15123938307443"/>
    <n v="0"/>
    <n v="0"/>
    <n v="0"/>
    <n v="5.6376086627821209"/>
    <n v="0"/>
    <n v="-50.456768386332442"/>
    <m/>
    <n v="0"/>
    <n v="0"/>
    <n v="0"/>
    <n v="0"/>
    <n v="-6.097187281719215"/>
    <n v="-1.5593408976403325"/>
    <n v="0"/>
    <n v="0"/>
    <m/>
    <m/>
    <m/>
    <n v="5135.8451408516876"/>
    <n v="0"/>
    <n v="0"/>
    <n v="-2230.3838500000002"/>
    <n v="552.16170000000056"/>
    <n v="0"/>
    <n v="0"/>
    <n v="-2253.4666177461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5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2.0249999999999999"/>
    <n v="2.0249999999999999"/>
    <n v="2.0249999999999999"/>
    <n v="2.0249999999999999"/>
    <m/>
    <n v="415.98"/>
    <n v="215.17"/>
    <m/>
    <n v="1278.0787499999999"/>
    <n v="1278.0787499999999"/>
    <n v="1110.7934999999998"/>
    <n v="0"/>
    <n v="123.70036114072909"/>
    <n v="0"/>
    <n v="0"/>
    <n v="0"/>
    <n v="180.86404424532728"/>
    <n v="511.94124588848956"/>
    <n v="426.79292360893851"/>
    <n v="8.9241232308280392"/>
    <n v="0"/>
    <n v="0"/>
    <n v="0"/>
    <n v="0"/>
    <n v="19.114878873715398"/>
    <m/>
    <n v="2.38422989465183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576674500272228"/>
    <n v="0"/>
    <n v="0"/>
    <n v="0"/>
    <n v="370.26"/>
    <n v="1"/>
    <m/>
    <m/>
    <m/>
    <m/>
    <m/>
    <m/>
    <m/>
    <m/>
    <m/>
    <n v="431.15059105896574"/>
    <m/>
    <m/>
    <m/>
    <m/>
    <m/>
    <m/>
    <m/>
    <m/>
    <m/>
    <m/>
    <m/>
    <m/>
    <n v="1113.5361999999998"/>
    <n v="-164.57255000000009"/>
    <m/>
    <m/>
    <m/>
    <m/>
    <n v="-222.32475000000002"/>
    <n v="55.039500000000011"/>
    <n v="30"/>
    <n v="57.335634813551337"/>
    <n v="0"/>
    <n v="0"/>
    <n v="0"/>
    <n v="0"/>
    <n v="0"/>
    <n v="0"/>
    <n v="0"/>
    <n v="7.5279561649008997"/>
    <n v="0"/>
    <n v="0"/>
    <n v="55.038457285292907"/>
    <n v="0"/>
    <n v="0"/>
    <n v="0"/>
    <n v="0.56195705351384539"/>
    <n v="0"/>
    <n v="-5.0295326597254899"/>
    <m/>
    <n v="0"/>
    <n v="0"/>
    <n v="0"/>
    <n v="0"/>
    <n v="-0.60776786834759733"/>
    <n v="-0.15543516208327235"/>
    <n v="0"/>
    <n v="0"/>
    <m/>
    <m/>
    <m/>
    <n v="511.94124588848956"/>
    <n v="0"/>
    <n v="0"/>
    <n v="-222.32475000000011"/>
    <n v="55.039500000000032"/>
    <n v="0"/>
    <n v="0"/>
    <n v="-224.6256411979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6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79.42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67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05000000000000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68"/>
    <s v="Regular"/>
    <s v="Convencional"/>
    <s v="B2"/>
    <s v="Rural"/>
    <s v="Agropecuária rural"/>
    <s v="IRRIG./AQUIC."/>
    <s v="Não se aplica"/>
    <s v="Não se aplica"/>
    <s v="CATIVO"/>
    <x v="9"/>
    <n v="0"/>
    <n v="0"/>
    <n v="1.6779999999999999"/>
    <n v="1.6779999999999999"/>
    <n v="1.6779999999999999"/>
    <n v="1.6779999999999999"/>
    <m/>
    <n v="415.98"/>
    <n v="215.17"/>
    <m/>
    <n v="1059.0697"/>
    <n v="1059.0697"/>
    <n v="920.45011999999997"/>
    <n v="0"/>
    <n v="102.50331160204613"/>
    <n v="0"/>
    <n v="0"/>
    <n v="0"/>
    <n v="149.87153888575762"/>
    <n v="424.21600523500518"/>
    <n v="353.65853126706116"/>
    <n v="7.3949031018910869"/>
    <n v="0"/>
    <n v="0"/>
    <n v="0"/>
    <n v="0"/>
    <n v="15.839390987700957"/>
    <m/>
    <n v="1.97567296949420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109461635287308"/>
    <n v="0"/>
    <n v="0"/>
    <n v="0"/>
    <n v="0"/>
    <n v="0"/>
    <m/>
    <m/>
    <m/>
    <m/>
    <m/>
    <n v="110.44595999999999"/>
    <m/>
    <m/>
    <m/>
    <n v="357.26947743058992"/>
    <m/>
    <m/>
    <m/>
    <m/>
    <m/>
    <m/>
    <m/>
    <m/>
    <m/>
    <m/>
    <m/>
    <m/>
    <n v="810.96960000000001"/>
    <n v="-121.03837999999996"/>
    <m/>
    <m/>
    <m/>
    <m/>
    <n v="-184.22762000000003"/>
    <n v="45.60804000000001"/>
    <n v="30"/>
    <n v="47.510713687476027"/>
    <n v="0"/>
    <n v="0"/>
    <n v="0"/>
    <n v="0"/>
    <n v="0"/>
    <n v="0"/>
    <n v="0"/>
    <n v="6.2379804665203551"/>
    <n v="0"/>
    <n v="0"/>
    <n v="45.607175962825409"/>
    <n v="0"/>
    <n v="0"/>
    <n v="0"/>
    <n v="0.46566120286233703"/>
    <n v="0"/>
    <n v="-4.1676818780342586"/>
    <m/>
    <n v="0"/>
    <n v="0"/>
    <n v="0"/>
    <n v="0"/>
    <n v="-0.50362196695667549"/>
    <n v="-0.12880009974110163"/>
    <n v="0"/>
    <n v="0"/>
    <m/>
    <m/>
    <m/>
    <n v="424.21600523500518"/>
    <n v="0"/>
    <n v="0"/>
    <n v="-184.22762000000012"/>
    <n v="45.608040000000017"/>
    <n v="0"/>
    <n v="0"/>
    <n v="-186.1342350272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69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7.2999999999999995E-2"/>
    <n v="7.2999999999999995E-2"/>
    <n v="7.2999999999999995E-2"/>
    <n v="7.2999999999999995E-2"/>
    <m/>
    <n v="415.98"/>
    <n v="215.17"/>
    <m/>
    <n v="46.073949999999996"/>
    <n v="46.073949999999996"/>
    <n v="40.043419999999998"/>
    <n v="0"/>
    <n v="4.4593216608756654"/>
    <n v="0"/>
    <n v="0"/>
    <n v="0"/>
    <n v="6.5200371505722927"/>
    <n v="18.455165901165302"/>
    <n v="15.385621443680252"/>
    <n v="0.32170913375330712"/>
    <n v="0"/>
    <n v="0"/>
    <n v="0"/>
    <n v="0"/>
    <n v="0.68907958408949332"/>
    <m/>
    <n v="8.595001595534992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5709122165530234"/>
    <n v="0"/>
    <n v="0"/>
    <n v="0"/>
    <n v="0"/>
    <n v="0"/>
    <m/>
    <m/>
    <m/>
    <m/>
    <m/>
    <n v="4.8048599999999997"/>
    <m/>
    <m/>
    <m/>
    <n v="15.542712665335554"/>
    <m/>
    <m/>
    <m/>
    <m/>
    <m/>
    <m/>
    <m/>
    <m/>
    <m/>
    <m/>
    <m/>
    <m/>
    <n v="33.790400000000005"/>
    <n v="-6.7845299999999895"/>
    <m/>
    <m/>
    <m/>
    <m/>
    <n v="-8.0146700000000006"/>
    <n v="1.9841400000000005"/>
    <n v="30"/>
    <n v="2.0669142426613476"/>
    <n v="0"/>
    <n v="0"/>
    <n v="0"/>
    <n v="0"/>
    <n v="0"/>
    <n v="0"/>
    <n v="0"/>
    <n v="0.2713781728581548"/>
    <n v="0"/>
    <n v="0"/>
    <n v="1.9841024107784602"/>
    <n v="0"/>
    <n v="0"/>
    <n v="0"/>
    <n v="2.0258204892104087E-2"/>
    <n v="0"/>
    <n v="-0.18131154773331382"/>
    <m/>
    <n v="0"/>
    <n v="0"/>
    <n v="0"/>
    <n v="0"/>
    <n v="-2.1909656488580009E-2"/>
    <n v="-5.6033416454710494E-3"/>
    <n v="0"/>
    <n v="0"/>
    <m/>
    <m/>
    <m/>
    <n v="18.455165901165302"/>
    <n v="0"/>
    <n v="0"/>
    <n v="-8.0146700000000024"/>
    <n v="1.9841400000000018"/>
    <n v="0"/>
    <n v="0"/>
    <n v="-8.0976157073822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0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1.663"/>
    <n v="0.66520000000000001"/>
    <n v="1.663"/>
    <n v="0.66520000000000001"/>
    <m/>
    <n v="415.98"/>
    <n v="215.17"/>
    <m/>
    <n v="1049.6024500000001"/>
    <n v="1049.6024500000001"/>
    <n v="912.22201999999993"/>
    <n v="0"/>
    <n v="101.58701263063332"/>
    <n v="0"/>
    <n v="0"/>
    <n v="0"/>
    <n v="148.53180522468114"/>
    <n v="420.42384785805342"/>
    <n v="350.49710220329126"/>
    <n v="7.328798485366435"/>
    <n v="0"/>
    <n v="0"/>
    <n v="0"/>
    <n v="0"/>
    <n v="15.697799292340102"/>
    <m/>
    <n v="1.9580120073116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786671453803809"/>
    <n v="0"/>
    <n v="0"/>
    <n v="0"/>
    <n v="0"/>
    <n v="0"/>
    <m/>
    <m/>
    <m/>
    <m/>
    <m/>
    <m/>
    <n v="591.1166760000001"/>
    <m/>
    <m/>
    <n v="354.07576934867166"/>
    <m/>
    <m/>
    <m/>
    <m/>
    <m/>
    <m/>
    <m/>
    <m/>
    <m/>
    <m/>
    <m/>
    <m/>
    <n v="323.42240000000004"/>
    <n v="-46.066331999999932"/>
    <m/>
    <m/>
    <m/>
    <m/>
    <n v="-182.58077000000003"/>
    <n v="45.200340000000011"/>
    <n v="30"/>
    <n v="47.086005281449843"/>
    <n v="0"/>
    <n v="0"/>
    <n v="0"/>
    <n v="0"/>
    <n v="0"/>
    <n v="0"/>
    <n v="0"/>
    <n v="6.1822178282618268"/>
    <n v="0"/>
    <n v="0"/>
    <n v="45.199483686638075"/>
    <n v="0"/>
    <n v="0"/>
    <n v="0"/>
    <n v="0.46149855802149453"/>
    <n v="0"/>
    <n v="-4.1304260805548125"/>
    <m/>
    <n v="0"/>
    <n v="0"/>
    <n v="0"/>
    <n v="0"/>
    <n v="-0.49911998274669145"/>
    <n v="-0.12764872817011441"/>
    <n v="0"/>
    <n v="0"/>
    <m/>
    <m/>
    <m/>
    <n v="420.42384785805342"/>
    <n v="0"/>
    <n v="0"/>
    <n v="-182.58077000000009"/>
    <n v="45.20034000000004"/>
    <n v="0"/>
    <n v="0"/>
    <n v="-184.47034138872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2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5.78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73"/>
    <s v="Regular"/>
    <s v="Convencional"/>
    <s v="B2"/>
    <s v="Rural"/>
    <s v="Aquicultura"/>
    <s v="IRRIG./AQUIC."/>
    <s v="Não se aplica"/>
    <s v="Não se aplica"/>
    <s v="CATIVO"/>
    <x v="9"/>
    <n v="0"/>
    <n v="0"/>
    <n v="0.20899999999999999"/>
    <n v="0.20899999999999999"/>
    <n v="0.20899999999999999"/>
    <n v="0.20899999999999999"/>
    <m/>
    <n v="415.98"/>
    <n v="215.17"/>
    <m/>
    <n v="131.91034999999999"/>
    <n v="131.91034999999999"/>
    <n v="114.64485999999999"/>
    <n v="0"/>
    <n v="12.767099001685125"/>
    <n v="0"/>
    <n v="0"/>
    <n v="0"/>
    <n v="18.666955677665879"/>
    <n v="52.83739278552806"/>
    <n v="44.049244955194148"/>
    <n v="0.92105765691015329"/>
    <n v="0"/>
    <n v="0"/>
    <n v="0"/>
    <n v="0"/>
    <n v="1.972844288694577"/>
    <m/>
    <n v="0.24607607307764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4975431953367384"/>
    <n v="0"/>
    <n v="0"/>
    <n v="0"/>
    <n v="0"/>
    <n v="0"/>
    <m/>
    <m/>
    <m/>
    <m/>
    <m/>
    <n v="13.756379999999998"/>
    <m/>
    <m/>
    <m/>
    <n v="44.498999274727822"/>
    <m/>
    <m/>
    <m/>
    <m/>
    <m/>
    <m/>
    <m/>
    <m/>
    <m/>
    <m/>
    <m/>
    <m/>
    <n v="101.3712"/>
    <n v="-14.739490000000018"/>
    <m/>
    <m/>
    <m/>
    <m/>
    <n v="-22.946110000000004"/>
    <n v="5.6806200000000011"/>
    <n v="30"/>
    <n v="5.9176037906331942"/>
    <n v="0"/>
    <n v="0"/>
    <n v="0"/>
    <n v="0"/>
    <n v="0"/>
    <n v="0"/>
    <n v="0"/>
    <n v="0.77695942640211513"/>
    <n v="0"/>
    <n v="0"/>
    <n v="5.6805123815438137"/>
    <n v="0"/>
    <n v="0"/>
    <n v="0"/>
    <n v="5.7999518115749993E-2"/>
    <n v="0"/>
    <n v="-0.51909744488030896"/>
    <m/>
    <n v="0"/>
    <n v="0"/>
    <n v="0"/>
    <n v="0"/>
    <n v="-6.2727646659085368E-2"/>
    <n v="-1.6042443889088348E-2"/>
    <n v="0"/>
    <n v="0"/>
    <m/>
    <m/>
    <m/>
    <n v="52.83739278552806"/>
    <n v="0"/>
    <n v="0"/>
    <n v="-22.946109999999997"/>
    <n v="5.6806199999999976"/>
    <n v="0"/>
    <n v="0"/>
    <n v="-23.18358469647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4"/>
    <s v="Regular"/>
    <s v="Convencional"/>
    <s v="B2"/>
    <s v="Rural"/>
    <s v="Aquicultura"/>
    <s v="IRRIG./AQUIC. PR"/>
    <s v="Não se aplica"/>
    <s v="Não se aplica"/>
    <s v="CATIVO"/>
    <x v="9"/>
    <n v="0"/>
    <n v="0"/>
    <n v="0.53700000000000003"/>
    <n v="0.21479999999999999"/>
    <n v="0.53700000000000003"/>
    <n v="0.21479999999999999"/>
    <m/>
    <n v="415.98"/>
    <n v="215.17"/>
    <m/>
    <n v="338.92755"/>
    <n v="338.92755"/>
    <n v="294.56598000000002"/>
    <n v="0"/>
    <n v="32.803503176578531"/>
    <n v="0"/>
    <n v="0"/>
    <n v="0"/>
    <n v="47.962465066538648"/>
    <n v="135.75923409487353"/>
    <n v="113.17916048296297"/>
    <n v="2.366545271582547"/>
    <n v="0"/>
    <n v="0"/>
    <n v="0"/>
    <n v="0"/>
    <n v="5.0689826939186027"/>
    <m/>
    <n v="0.6322624461373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555888497109228"/>
    <n v="0"/>
    <n v="0"/>
    <n v="0"/>
    <n v="0"/>
    <n v="0"/>
    <m/>
    <m/>
    <m/>
    <m/>
    <m/>
    <m/>
    <n v="190.87772400000003"/>
    <m/>
    <m/>
    <n v="114.33474933267389"/>
    <m/>
    <m/>
    <m/>
    <m/>
    <m/>
    <m/>
    <m/>
    <m/>
    <m/>
    <m/>
    <m/>
    <m/>
    <n v="101.3712"/>
    <n v="-17.960868000000005"/>
    <m/>
    <m/>
    <m/>
    <m/>
    <n v="-58.957230000000017"/>
    <n v="14.595660000000004"/>
    <n v="30"/>
    <n v="15.204560935741739"/>
    <n v="0"/>
    <n v="0"/>
    <n v="0"/>
    <n v="0"/>
    <n v="0"/>
    <n v="0"/>
    <n v="0"/>
    <n v="1.9963024496551967"/>
    <n v="0"/>
    <n v="0"/>
    <n v="14.595383487507306"/>
    <n v="0"/>
    <n v="0"/>
    <n v="0"/>
    <n v="0.14902268530219032"/>
    <n v="0"/>
    <n v="-1.3337575497642398"/>
    <m/>
    <n v="0"/>
    <n v="0"/>
    <n v="0"/>
    <n v="0"/>
    <n v="-0.16117103471736272"/>
    <n v="-4.1219102241341843E-2"/>
    <n v="0"/>
    <n v="0"/>
    <m/>
    <m/>
    <m/>
    <n v="135.75923409487353"/>
    <n v="0"/>
    <n v="0"/>
    <n v="-58.95723000000001"/>
    <n v="14.595660000000009"/>
    <n v="0"/>
    <n v="0"/>
    <n v="-59.567392258414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5"/>
    <s v="Regular"/>
    <s v="Convencional"/>
    <s v="B1"/>
    <s v="Residencial"/>
    <s v="Residencial"/>
    <s v="Não se aplica"/>
    <s v="Não se aplica"/>
    <s v="Não se aplica"/>
    <s v="CATIVO"/>
    <x v="10"/>
    <n v="0"/>
    <n v="0"/>
    <n v="482.822"/>
    <n v="482.822"/>
    <n v="482.822"/>
    <n v="482.822"/>
    <m/>
    <n v="415.98"/>
    <n v="215.17"/>
    <m/>
    <n v="304733.1053"/>
    <n v="304733.1053"/>
    <n v="264847.17988000001"/>
    <n v="0"/>
    <n v="29493.953465031653"/>
    <n v="0"/>
    <n v="0"/>
    <n v="0"/>
    <n v="43123.525713885145"/>
    <n v="122062.46727030732"/>
    <n v="101760.5002285012"/>
    <n v="2127.7842106443736"/>
    <n v="0"/>
    <n v="0"/>
    <n v="0"/>
    <n v="0"/>
    <n v="4557.5723691679095"/>
    <m/>
    <n v="568.47340552868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9.0013400281698"/>
    <n v="0"/>
    <n v="0"/>
    <n v="0"/>
    <n v="41817"/>
    <n v="2843"/>
    <m/>
    <m/>
    <m/>
    <m/>
    <m/>
    <m/>
    <m/>
    <m/>
    <m/>
    <n v="102799.50156852938"/>
    <m/>
    <m/>
    <m/>
    <m/>
    <m/>
    <m/>
    <m/>
    <m/>
    <m/>
    <m/>
    <m/>
    <m/>
    <n v="264846.08279999997"/>
    <n v="-39887.052500000049"/>
    <m/>
    <m/>
    <m/>
    <m/>
    <n v="-53009.027380000007"/>
    <n v="13123.101960000004"/>
    <n v="31"/>
    <n v="13670.570800962189"/>
    <n v="0"/>
    <n v="0"/>
    <n v="0"/>
    <n v="0"/>
    <n v="0"/>
    <n v="0"/>
    <n v="0"/>
    <n v="1794.8952352838387"/>
    <n v="0"/>
    <n v="0"/>
    <n v="13122.853344888732"/>
    <n v="0"/>
    <n v="0"/>
    <n v="0"/>
    <n v="133.98776715637632"/>
    <n v="0"/>
    <n v="-1199.1945767081343"/>
    <m/>
    <n v="0"/>
    <n v="0"/>
    <n v="0"/>
    <n v="0"/>
    <n v="-144.91046801546872"/>
    <n v="-37.060501643145471"/>
    <n v="0"/>
    <n v="0"/>
    <m/>
    <m/>
    <m/>
    <n v="122062.46727030732"/>
    <n v="0"/>
    <n v="0"/>
    <n v="-53009.027379999985"/>
    <n v="13123.10196"/>
    <n v="0"/>
    <n v="0"/>
    <n v="-53557.630288626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6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.181"/>
    <n v="3.181"/>
    <n v="3.181"/>
    <n v="3.181"/>
    <m/>
    <n v="415.98"/>
    <n v="215.17"/>
    <m/>
    <n v="2007.68815"/>
    <n v="2007.68815"/>
    <n v="1744.9057400000002"/>
    <n v="0"/>
    <n v="194.3164685376095"/>
    <n v="0"/>
    <n v="0"/>
    <n v="0"/>
    <n v="284.11285172562282"/>
    <n v="804.19017440557309"/>
    <n v="670.43372345680666"/>
    <n v="14.018585677661234"/>
    <n v="0"/>
    <n v="0"/>
    <n v="0"/>
    <n v="0"/>
    <n v="30.026878862858609"/>
    <m/>
    <n v="3.7453013801913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453037819933806"/>
    <n v="0"/>
    <n v="0"/>
    <n v="0"/>
    <n v="571.71"/>
    <n v="20"/>
    <m/>
    <m/>
    <m/>
    <m/>
    <m/>
    <m/>
    <m/>
    <m/>
    <m/>
    <n v="677.27902723880004"/>
    <m/>
    <m/>
    <m/>
    <m/>
    <m/>
    <m/>
    <m/>
    <m/>
    <m/>
    <m/>
    <m/>
    <m/>
    <n v="1744.3571999999999"/>
    <n v="-263.36095"/>
    <m/>
    <m/>
    <m/>
    <m/>
    <n v="-349.24199000000004"/>
    <n v="86.459580000000017"/>
    <n v="31"/>
    <n v="90.066495971311724"/>
    <n v="0"/>
    <n v="0"/>
    <n v="0"/>
    <n v="0"/>
    <n v="0"/>
    <n v="0"/>
    <n v="0"/>
    <n v="11.825396820024537"/>
    <n v="0"/>
    <n v="0"/>
    <n v="86.457942036798386"/>
    <n v="0"/>
    <n v="0"/>
    <n v="0"/>
    <n v="0.88275821591483705"/>
    <n v="0"/>
    <n v="-7.9007127854749513"/>
    <m/>
    <n v="0"/>
    <n v="0"/>
    <n v="0"/>
    <n v="0"/>
    <n v="-0.9547207847968906"/>
    <n v="-0.24416753115401901"/>
    <n v="0"/>
    <n v="0"/>
    <m/>
    <m/>
    <m/>
    <n v="804.19017440557309"/>
    <n v="0"/>
    <n v="0"/>
    <n v="-349.2419900000001"/>
    <n v="86.459580000000074"/>
    <n v="0"/>
    <n v="0"/>
    <n v="-352.85637760524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7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7.86"/>
    <n v="7.86"/>
    <n v="7.86"/>
    <n v="7.86"/>
    <m/>
    <n v="345.46"/>
    <n v="215.17"/>
    <m/>
    <n v="4406.5518000000002"/>
    <n v="4406.5518000000002"/>
    <n v="3779.0880000000002"/>
    <n v="0"/>
    <n v="0"/>
    <n v="0"/>
    <n v="0"/>
    <n v="0"/>
    <n v="702.02043840408521"/>
    <n v="1987.09046552273"/>
    <n v="1656.5888294154356"/>
    <n v="34.638819058917726"/>
    <n v="0"/>
    <n v="0"/>
    <n v="0"/>
    <n v="0"/>
    <n v="0"/>
    <m/>
    <n v="9.25434418368562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14205509735297"/>
    <n v="0"/>
    <n v="0"/>
    <n v="0"/>
    <n v="180.78"/>
    <n v="14"/>
    <m/>
    <m/>
    <m/>
    <m/>
    <m/>
    <m/>
    <m/>
    <n v="2456.4072000000001"/>
    <m/>
    <n v="1673.5030349251708"/>
    <m/>
    <m/>
    <m/>
    <m/>
    <m/>
    <m/>
    <m/>
    <m/>
    <m/>
    <m/>
    <m/>
    <m/>
    <n v="1322.6808000000001"/>
    <n v="-219.63840000000005"/>
    <m/>
    <m/>
    <m/>
    <m/>
    <n v="-841.09859999999992"/>
    <n v="213.63480000000007"/>
    <n v="31"/>
    <n v="244.42828236304604"/>
    <n v="0"/>
    <n v="0"/>
    <n v="0"/>
    <n v="0"/>
    <n v="0"/>
    <n v="0"/>
    <n v="0"/>
    <n v="29.219622447467145"/>
    <n v="0"/>
    <n v="0"/>
    <n v="213.63075272217407"/>
    <n v="0"/>
    <n v="0"/>
    <n v="0"/>
    <n v="2.1812258966018909"/>
    <n v="0"/>
    <n v="0"/>
    <m/>
    <n v="0"/>
    <n v="0"/>
    <n v="0"/>
    <n v="0"/>
    <n v="0"/>
    <n v="-0.60331870319729397"/>
    <n v="0"/>
    <n v="0"/>
    <m/>
    <m/>
    <m/>
    <n v="1987.09046552273"/>
    <n v="0"/>
    <n v="0"/>
    <n v="-841.09859999999981"/>
    <n v="213.63480000000004"/>
    <n v="0"/>
    <n v="0"/>
    <n v="-871.88026657567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8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5.704000000000001"/>
    <n v="15.704000000000001"/>
    <n v="15.704000000000001"/>
    <n v="15.704000000000001"/>
    <m/>
    <n v="345.46"/>
    <n v="215.17"/>
    <m/>
    <n v="8804.1335199999994"/>
    <n v="8804.1335199999994"/>
    <n v="7550.4832000000006"/>
    <n v="0"/>
    <n v="0"/>
    <n v="0"/>
    <n v="0"/>
    <n v="0"/>
    <n v="1402.611827569689"/>
    <n v="3970.1359631767118"/>
    <n v="3309.8054678295166"/>
    <n v="69.207126526875825"/>
    <n v="0"/>
    <n v="0"/>
    <n v="0"/>
    <n v="0"/>
    <n v="0"/>
    <m/>
    <n v="18.489850007709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793980066779014"/>
    <n v="0"/>
    <n v="0"/>
    <n v="0"/>
    <n v="617.02"/>
    <n v="59"/>
    <m/>
    <m/>
    <m/>
    <m/>
    <m/>
    <m/>
    <m/>
    <n v="3020.19328"/>
    <m/>
    <n v="3343.5994478962957"/>
    <m/>
    <m/>
    <m/>
    <m/>
    <m/>
    <m/>
    <m/>
    <m/>
    <m/>
    <m/>
    <m/>
    <m/>
    <n v="4529.1359999999995"/>
    <n v="-753.24848000000111"/>
    <m/>
    <m/>
    <m/>
    <m/>
    <n v="-1680.48504"/>
    <n v="426.83472000000012"/>
    <n v="31"/>
    <n v="488.3590007925286"/>
    <n v="0"/>
    <n v="0"/>
    <n v="0"/>
    <n v="0"/>
    <n v="0"/>
    <n v="0"/>
    <n v="0"/>
    <n v="58.379764747458466"/>
    <n v="0"/>
    <n v="0"/>
    <n v="426.82663368308158"/>
    <n v="0"/>
    <n v="0"/>
    <n v="0"/>
    <n v="4.3580116387068841"/>
    <n v="0"/>
    <n v="0"/>
    <m/>
    <n v="0"/>
    <n v="0"/>
    <n v="0"/>
    <n v="0"/>
    <n v="0"/>
    <n v="-1.2054092767188713"/>
    <n v="0"/>
    <n v="0"/>
    <m/>
    <m/>
    <m/>
    <n v="3970.1359631767118"/>
    <n v="0"/>
    <n v="0"/>
    <n v="-1680.4850399999996"/>
    <n v="426.83471999999983"/>
    <n v="0"/>
    <n v="0"/>
    <n v="-1741.985713270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79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4.917"/>
    <n v="14.917"/>
    <n v="14.917"/>
    <n v="14.917"/>
    <m/>
    <n v="345.46"/>
    <n v="215.17"/>
    <m/>
    <n v="8362.9177099999997"/>
    <n v="8362.9177099999997"/>
    <n v="7172.0935999999992"/>
    <n v="0"/>
    <n v="0"/>
    <n v="0"/>
    <n v="0"/>
    <n v="0"/>
    <n v="1332.3204681518753"/>
    <n v="3771.1741061326416"/>
    <n v="3143.9358229503882"/>
    <n v="65.738837646549072"/>
    <n v="0"/>
    <n v="0"/>
    <n v="0"/>
    <n v="0"/>
    <n v="0"/>
    <m/>
    <n v="17.563238191862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10040758126226"/>
    <n v="0"/>
    <n v="0"/>
    <n v="0"/>
    <n v="1080.1300000000001"/>
    <n v="124"/>
    <m/>
    <m/>
    <m/>
    <m/>
    <m/>
    <m/>
    <m/>
    <n v="717.35852999999963"/>
    <m/>
    <n v="3176.0362305316503"/>
    <m/>
    <m/>
    <m/>
    <m/>
    <m/>
    <m/>
    <m/>
    <m/>
    <m/>
    <m/>
    <m/>
    <m/>
    <n v="6456.0331999999999"/>
    <n v="-1070.518320000001"/>
    <m/>
    <m/>
    <m/>
    <m/>
    <n v="-1596.2681699999998"/>
    <n v="405.44406000000009"/>
    <n v="31"/>
    <n v="463.88507481037595"/>
    <n v="0"/>
    <n v="0"/>
    <n v="0"/>
    <n v="0"/>
    <n v="0"/>
    <n v="0"/>
    <n v="0"/>
    <n v="55.454084993494462"/>
    <n v="0"/>
    <n v="0"/>
    <n v="405.43637892578499"/>
    <n v="0"/>
    <n v="0"/>
    <n v="0"/>
    <n v="4.1396115393906427"/>
    <n v="0"/>
    <n v="0"/>
    <m/>
    <n v="0"/>
    <n v="0"/>
    <n v="0"/>
    <n v="0"/>
    <n v="0"/>
    <n v="-1.1450006482944062"/>
    <n v="0"/>
    <n v="0"/>
    <m/>
    <m/>
    <m/>
    <n v="3771.1741061326416"/>
    <n v="0"/>
    <n v="0"/>
    <n v="-1596.2681700000003"/>
    <n v="405.44405999999981"/>
    <n v="0"/>
    <n v="0"/>
    <n v="-1654.686760370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0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4.8789999999999996"/>
    <n v="4.8789999999999996"/>
    <n v="4.8789999999999996"/>
    <n v="4.8789999999999996"/>
    <m/>
    <n v="345.46"/>
    <n v="215.17"/>
    <m/>
    <n v="2735.3137699999997"/>
    <n v="2735.3137699999997"/>
    <n v="2345.8231999999998"/>
    <n v="0"/>
    <n v="0"/>
    <n v="0"/>
    <n v="0"/>
    <n v="0"/>
    <n v="435.77070215948237"/>
    <n v="1233.4623894765139"/>
    <n v="1028.3074934755609"/>
    <n v="21.501628268251853"/>
    <n v="0"/>
    <n v="0"/>
    <n v="0"/>
    <n v="0"/>
    <n v="0"/>
    <m/>
    <n v="5.7445222992623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99288636386577"/>
    <n v="0"/>
    <n v="0"/>
    <n v="0"/>
    <n v="480.7"/>
    <n v="65"/>
    <m/>
    <m/>
    <m/>
    <m/>
    <m/>
    <m/>
    <m/>
    <m/>
    <m/>
    <n v="1038.8067821119475"/>
    <m/>
    <m/>
    <m/>
    <m/>
    <m/>
    <m/>
    <m/>
    <m/>
    <m/>
    <m/>
    <m/>
    <m/>
    <n v="2346.3040000000001"/>
    <n v="-389.03976999999986"/>
    <m/>
    <m/>
    <m/>
    <m/>
    <n v="-522.10178999999994"/>
    <n v="132.61122000000003"/>
    <n v="31"/>
    <n v="151.72590199100523"/>
    <n v="0"/>
    <n v="0"/>
    <n v="0"/>
    <n v="0"/>
    <n v="0"/>
    <n v="0"/>
    <n v="0"/>
    <n v="18.137727470889615"/>
    <n v="0"/>
    <n v="0"/>
    <n v="132.60870770120709"/>
    <n v="0"/>
    <n v="0"/>
    <n v="0"/>
    <n v="1.3539696118982985"/>
    <n v="0"/>
    <n v="0"/>
    <m/>
    <n v="0"/>
    <n v="0"/>
    <n v="0"/>
    <n v="0"/>
    <n v="0"/>
    <n v="-0.37450279298977041"/>
    <n v="0"/>
    <n v="0"/>
    <m/>
    <m/>
    <m/>
    <n v="1233.4623894765139"/>
    <n v="0"/>
    <n v="0"/>
    <n v="-522.10178999999994"/>
    <n v="132.61122"/>
    <n v="0"/>
    <n v="0"/>
    <n v="-541.2091374838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1"/>
    <s v="Regular"/>
    <s v="Convencional"/>
    <s v="B3"/>
    <s v="Industrial"/>
    <s v="Não se aplica"/>
    <s v="Não se aplica"/>
    <s v="Não se aplica"/>
    <s v="Não se aplica"/>
    <s v="CATIVO"/>
    <x v="10"/>
    <n v="0"/>
    <n v="0"/>
    <n v="23.27"/>
    <n v="23.27"/>
    <n v="23.27"/>
    <n v="23.27"/>
    <m/>
    <n v="415.98"/>
    <n v="215.17"/>
    <m/>
    <n v="14686.860499999999"/>
    <n v="14686.860499999999"/>
    <n v="12764.525799999999"/>
    <n v="0"/>
    <n v="1421.4851376517361"/>
    <n v="0"/>
    <n v="0"/>
    <n v="0"/>
    <n v="2078.3734862166748"/>
    <n v="5882.9001441111868"/>
    <n v="4904.4302875950616"/>
    <n v="102.55029510191036"/>
    <n v="0"/>
    <n v="0"/>
    <n v="0"/>
    <n v="0"/>
    <n v="219.65591673647276"/>
    <m/>
    <n v="27.398039332616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075516820806655"/>
    <n v="0"/>
    <n v="0"/>
    <n v="0"/>
    <n v="2614.37"/>
    <n v="42"/>
    <m/>
    <m/>
    <m/>
    <m/>
    <m/>
    <m/>
    <m/>
    <m/>
    <m/>
    <n v="4954.5058044158686"/>
    <m/>
    <m/>
    <m/>
    <m/>
    <m/>
    <m/>
    <m/>
    <m/>
    <m/>
    <m/>
    <m/>
    <m/>
    <n v="12764.525799999999"/>
    <n v="-1922.3647000000001"/>
    <m/>
    <m/>
    <m/>
    <m/>
    <n v="-2554.8133000000003"/>
    <n v="632.47860000000014"/>
    <n v="31"/>
    <n v="658.86430721547731"/>
    <n v="0"/>
    <n v="0"/>
    <n v="0"/>
    <n v="0"/>
    <n v="0"/>
    <n v="0"/>
    <n v="0"/>
    <n v="86.506439485058308"/>
    <n v="0"/>
    <n v="0"/>
    <n v="632.46661779198348"/>
    <n v="0"/>
    <n v="0"/>
    <n v="0"/>
    <n v="6.4576496964282413"/>
    <n v="0"/>
    <n v="-57.79616048978346"/>
    <m/>
    <n v="0"/>
    <n v="0"/>
    <n v="0"/>
    <n v="0"/>
    <n v="-6.9840781710857414"/>
    <n v="-1.7861610971248147"/>
    <n v="0"/>
    <n v="0"/>
    <m/>
    <m/>
    <m/>
    <n v="5882.9001441111868"/>
    <n v="0"/>
    <n v="0"/>
    <n v="-2554.8133000000007"/>
    <n v="632.47860000000037"/>
    <n v="0"/>
    <n v="0"/>
    <n v="-2581.2536645312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2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2.7879999999999998"/>
    <n v="2.7879999999999998"/>
    <n v="2.7879999999999998"/>
    <n v="2.7879999999999998"/>
    <m/>
    <n v="415.98"/>
    <n v="215.17"/>
    <m/>
    <n v="1759.6461999999999"/>
    <n v="1759.6461999999999"/>
    <n v="1529.3295199999998"/>
    <n v="0"/>
    <n v="170.30943548659391"/>
    <n v="0"/>
    <n v="0"/>
    <n v="0"/>
    <n v="249.0118298054185"/>
    <n v="704.83565112943654"/>
    <n v="587.60428198603483"/>
    <n v="12.286644724715346"/>
    <n v="0"/>
    <n v="0"/>
    <n v="0"/>
    <n v="0"/>
    <n v="26.317176444404211"/>
    <m/>
    <n v="3.2825841710070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995935065066153"/>
    <n v="0"/>
    <n v="0"/>
    <n v="0"/>
    <n v="858.72"/>
    <n v="3"/>
    <m/>
    <m/>
    <m/>
    <m/>
    <m/>
    <m/>
    <m/>
    <m/>
    <m/>
    <n v="593.60387549254142"/>
    <m/>
    <m/>
    <m/>
    <m/>
    <m/>
    <m/>
    <m/>
    <m/>
    <m/>
    <m/>
    <m/>
    <m/>
    <n v="1530.4265999999998"/>
    <n v="-229.2496000000001"/>
    <m/>
    <m/>
    <m/>
    <m/>
    <n v="-306.09452000000005"/>
    <n v="75.777840000000012"/>
    <n v="31"/>
    <n v="78.939135733422745"/>
    <n v="0"/>
    <n v="0"/>
    <n v="0"/>
    <n v="0"/>
    <n v="0"/>
    <n v="0"/>
    <n v="0"/>
    <n v="10.364415697651197"/>
    <n v="0"/>
    <n v="0"/>
    <n v="75.776404400689671"/>
    <n v="0"/>
    <n v="0"/>
    <n v="0"/>
    <n v="0.77369692108474197"/>
    <n v="0"/>
    <n v="-6.9246108915133959"/>
    <m/>
    <n v="0"/>
    <n v="0"/>
    <n v="0"/>
    <n v="0"/>
    <n v="-0.83676879849535624"/>
    <n v="-0.21400159599415458"/>
    <n v="0"/>
    <n v="0"/>
    <m/>
    <m/>
    <m/>
    <n v="704.83565112943654"/>
    <n v="0"/>
    <n v="0"/>
    <n v="-306.0945200000001"/>
    <n v="75.777840000000083"/>
    <n v="0"/>
    <n v="0"/>
    <n v="-309.26236427646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3"/>
    <s v="Regular"/>
    <s v="Verde"/>
    <s v="A4"/>
    <s v="Industrial"/>
    <s v="Não se aplica"/>
    <s v="Não se aplica"/>
    <s v="Não se aplica"/>
    <s v="Ponta"/>
    <s v="CATIVO"/>
    <x v="10"/>
    <n v="0"/>
    <n v="0"/>
    <n v="114.94499999999999"/>
    <n v="114.94499999999999"/>
    <n v="114.94499999999999"/>
    <n v="114.94499999999999"/>
    <m/>
    <n v="2184.0300000000002"/>
    <n v="215.17"/>
    <m/>
    <n v="275776.04399999999"/>
    <n v="275776.04399999999"/>
    <n v="208095.27854999999"/>
    <n v="0"/>
    <n v="6108.7911456046149"/>
    <n v="0"/>
    <n v="0"/>
    <n v="0"/>
    <n v="75748.095922972905"/>
    <n v="167926.37770506501"/>
    <n v="24226.03091566886"/>
    <n v="506.55967642840943"/>
    <n v="0"/>
    <n v="0"/>
    <n v="0"/>
    <n v="0"/>
    <n v="1085.0171615502302"/>
    <m/>
    <n v="79.297411308269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502177308285809"/>
    <n v="0"/>
    <n v="0"/>
    <n v="0"/>
    <n v="0"/>
    <n v="0"/>
    <m/>
    <m/>
    <m/>
    <m/>
    <m/>
    <m/>
    <m/>
    <m/>
    <m/>
    <n v="24321.533092977144"/>
    <m/>
    <m/>
    <m/>
    <m/>
    <m/>
    <m/>
    <m/>
    <m/>
    <m/>
    <m/>
    <m/>
    <m/>
    <n v="208104.33050000001"/>
    <n v="-67671.743500000011"/>
    <m/>
    <m/>
    <m/>
    <m/>
    <n v="-70804.970550000027"/>
    <n v="3124.2051000000006"/>
    <n v="31"/>
    <n v="6001.2170710000646"/>
    <n v="0"/>
    <n v="0"/>
    <n v="0"/>
    <n v="0"/>
    <n v="0"/>
    <n v="0"/>
    <n v="0"/>
    <n v="3152.8010338493623"/>
    <n v="0"/>
    <n v="0"/>
    <n v="3124.1459124236972"/>
    <n v="0"/>
    <n v="0"/>
    <n v="0"/>
    <n v="12.315791138212376"/>
    <n v="0"/>
    <n v="-248.37732319394945"/>
    <m/>
    <n v="0"/>
    <n v="0"/>
    <n v="0"/>
    <n v="0"/>
    <n v="-34.498705001093413"/>
    <n v="-5.169638216152606"/>
    <n v="0"/>
    <n v="0"/>
    <m/>
    <m/>
    <m/>
    <n v="167926.37770506501"/>
    <n v="0"/>
    <n v="0"/>
    <n v="-70804.970549999998"/>
    <n v="3124.2050999999992"/>
    <n v="0"/>
    <n v="0"/>
    <n v="-73681.444050442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4"/>
    <s v="Regular"/>
    <s v="Verde"/>
    <s v="A4"/>
    <s v="Industrial"/>
    <s v="Não se aplica"/>
    <s v="Não se aplica"/>
    <s v="Não se aplica"/>
    <s v="Fora ponta"/>
    <s v="CATIVO"/>
    <x v="10"/>
    <n v="0"/>
    <n v="0"/>
    <n v="1986.702"/>
    <n v="1986.702"/>
    <n v="1986.702"/>
    <n v="1986.702"/>
    <m/>
    <n v="64.11"/>
    <n v="215.17"/>
    <m/>
    <n v="554846.13455999992"/>
    <n v="554846.13455999992"/>
    <n v="604076.61011999997"/>
    <n v="0"/>
    <n v="105583.95394801845"/>
    <n v="0"/>
    <n v="0"/>
    <n v="0"/>
    <n v="0"/>
    <n v="0"/>
    <n v="418721.16292332119"/>
    <n v="8755.3449239172987"/>
    <n v="0"/>
    <n v="0"/>
    <n v="0"/>
    <n v="0"/>
    <n v="18753.366957120063"/>
    <m/>
    <n v="1370.5713657920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0.653500915447"/>
    <n v="0"/>
    <n v="0"/>
    <n v="0"/>
    <n v="0"/>
    <n v="0"/>
    <m/>
    <m/>
    <m/>
    <m/>
    <m/>
    <m/>
    <m/>
    <m/>
    <m/>
    <n v="420371.81642423663"/>
    <m/>
    <m/>
    <m/>
    <m/>
    <m/>
    <m/>
    <m/>
    <m/>
    <m/>
    <m/>
    <m/>
    <m/>
    <n v="604076.00199999998"/>
    <n v="49229.837440000032"/>
    <m/>
    <m/>
    <m/>
    <m/>
    <n v="-4768.0847999999969"/>
    <n v="53998.56036000001"/>
    <n v="31"/>
    <n v="49231.839904644992"/>
    <n v="0"/>
    <n v="0"/>
    <n v="0"/>
    <n v="0"/>
    <n v="0"/>
    <n v="0"/>
    <n v="0"/>
    <n v="0"/>
    <n v="0"/>
    <n v="0"/>
    <n v="53997.537365731376"/>
    <n v="0"/>
    <n v="0"/>
    <n v="0"/>
    <n v="212.86534330217751"/>
    <n v="0"/>
    <n v="-4292.9377071126655"/>
    <m/>
    <n v="0"/>
    <n v="0"/>
    <n v="0"/>
    <n v="0"/>
    <n v="-596.27340226266824"/>
    <n v="-89.351695013326662"/>
    <n v="0"/>
    <n v="0"/>
    <m/>
    <m/>
    <m/>
    <n v="0"/>
    <n v="0"/>
    <n v="0"/>
    <n v="-4768.0847999999969"/>
    <n v="53998.5603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5"/>
    <s v="Regular"/>
    <s v="Verde"/>
    <s v="A4"/>
    <s v="Industrial"/>
    <s v="Não se aplica"/>
    <s v="Não se aplica"/>
    <s v="Não se aplica"/>
    <s v="Não se aplica"/>
    <s v="CATIVO"/>
    <x v="10"/>
    <n v="6303"/>
    <n v="6303"/>
    <n v="0"/>
    <n v="0"/>
    <n v="0"/>
    <n v="0"/>
    <n v="28.04"/>
    <m/>
    <m/>
    <n v="176736.12"/>
    <m/>
    <n v="176736.12"/>
    <n v="132741.18"/>
    <n v="0"/>
    <n v="0"/>
    <n v="0"/>
    <n v="0"/>
    <n v="0"/>
    <n v="69778.479617560602"/>
    <n v="106989.012271505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8001.8"/>
    <n v="16"/>
    <m/>
    <m/>
    <m/>
    <m/>
    <m/>
    <m/>
    <m/>
    <m/>
    <m/>
    <n v="0"/>
    <m/>
    <m/>
    <m/>
    <m/>
    <m/>
    <m/>
    <m/>
    <m/>
    <m/>
    <m/>
    <m/>
    <m/>
    <n v="132741.18"/>
    <n v="-43994.97000000003"/>
    <m/>
    <m/>
    <m/>
    <m/>
    <n v="-43994.94"/>
    <n v="0"/>
    <n v="31"/>
    <n v="2904.3325775788398"/>
    <n v="0"/>
    <n v="0"/>
    <n v="0"/>
    <n v="0"/>
    <m/>
    <m/>
    <m/>
    <n v="2904.33257757883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6989.01227150518"/>
    <m/>
    <n v="0"/>
    <n v="0"/>
    <n v="-43994.94"/>
    <m/>
    <n v="0"/>
    <m/>
    <n v="-46943.815673439582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386"/>
    <s v="Refaturamento - Regular"/>
    <s v="Verde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0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87"/>
    <s v="Regular"/>
    <s v="Convencional"/>
    <s v="B3"/>
    <s v="Comercial"/>
    <s v="Não se aplica"/>
    <s v="Não se aplica"/>
    <s v="Não se aplica"/>
    <s v="Não se aplica"/>
    <s v="CATIVO"/>
    <x v="10"/>
    <n v="0"/>
    <n v="0"/>
    <n v="160.21700000000001"/>
    <n v="160.21700000000001"/>
    <n v="160.21700000000001"/>
    <n v="160.21700000000001"/>
    <m/>
    <n v="415.98"/>
    <n v="215.17"/>
    <m/>
    <n v="101120.95955000001"/>
    <n v="101120.95955000001"/>
    <n v="87885.433180000007"/>
    <n v="0"/>
    <n v="9787.1114868563909"/>
    <n v="0"/>
    <n v="0"/>
    <n v="0"/>
    <n v="14309.873865112892"/>
    <n v="40504.538564205504"/>
    <n v="33767.645354001637"/>
    <n v="706.07222304867969"/>
    <n v="0"/>
    <n v="0"/>
    <n v="0"/>
    <n v="0"/>
    <n v="1512.3597770420051"/>
    <m/>
    <n v="188.63909186737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.77649671161066"/>
    <n v="0"/>
    <n v="0"/>
    <n v="0"/>
    <n v="17658.02"/>
    <n v="442"/>
    <m/>
    <m/>
    <m/>
    <m/>
    <m/>
    <m/>
    <m/>
    <m/>
    <m/>
    <n v="34112.421850713246"/>
    <m/>
    <m/>
    <m/>
    <m/>
    <m/>
    <m/>
    <m/>
    <m/>
    <m/>
    <m/>
    <m/>
    <m/>
    <n v="87887.078799999988"/>
    <n v="-13233.91075000001"/>
    <m/>
    <m/>
    <m/>
    <m/>
    <n v="-17590.224430000006"/>
    <n v="4354.6980600000015"/>
    <n v="31"/>
    <n v="4536.3671125544497"/>
    <n v="0"/>
    <n v="0"/>
    <n v="0"/>
    <n v="0"/>
    <n v="0"/>
    <n v="0"/>
    <n v="0"/>
    <n v="595.60817425774076"/>
    <n v="0"/>
    <n v="0"/>
    <n v="4354.6155609272973"/>
    <n v="0"/>
    <n v="0"/>
    <n v="0"/>
    <n v="44.461764564359441"/>
    <n v="0"/>
    <n v="-397.93414031764769"/>
    <m/>
    <n v="0"/>
    <n v="0"/>
    <n v="0"/>
    <n v="0"/>
    <n v="-48.086293611381279"/>
    <n v="-12.29795326592378"/>
    <n v="0"/>
    <n v="0"/>
    <m/>
    <m/>
    <m/>
    <n v="40504.538564205504"/>
    <n v="0"/>
    <n v="0"/>
    <n v="-17590.224430000009"/>
    <n v="4354.6980600000024"/>
    <n v="0"/>
    <n v="0"/>
    <n v="-17772.269805337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88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305.8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89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3.056"/>
    <n v="3.056"/>
    <n v="3.056"/>
    <n v="3.056"/>
    <m/>
    <n v="415.98"/>
    <n v="215.17"/>
    <m/>
    <n v="1928.7944"/>
    <n v="1928.7944"/>
    <n v="1676.33824"/>
    <n v="0"/>
    <n v="186.6806437758361"/>
    <n v="0"/>
    <n v="0"/>
    <n v="0"/>
    <n v="272.9484045499853"/>
    <n v="772.58886293097498"/>
    <n v="644.08848125872407"/>
    <n v="13.467713873289131"/>
    <n v="0"/>
    <n v="0"/>
    <n v="0"/>
    <n v="0"/>
    <n v="28.846948068184819"/>
    <m/>
    <n v="3.5981266953362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763119640904657"/>
    <n v="0"/>
    <n v="0"/>
    <n v="0"/>
    <n v="392.71"/>
    <n v="8"/>
    <m/>
    <m/>
    <m/>
    <m/>
    <m/>
    <m/>
    <m/>
    <m/>
    <m/>
    <n v="650.66479322281452"/>
    <m/>
    <m/>
    <m/>
    <m/>
    <m/>
    <m/>
    <m/>
    <m/>
    <m/>
    <m/>
    <m/>
    <m/>
    <n v="1678.5324000000001"/>
    <n v="-250.29199999999992"/>
    <m/>
    <m/>
    <m/>
    <m/>
    <n v="-335.51824000000005"/>
    <n v="83.062080000000023"/>
    <n v="31"/>
    <n v="86.527259254425871"/>
    <n v="0"/>
    <n v="0"/>
    <n v="0"/>
    <n v="0"/>
    <n v="0"/>
    <n v="0"/>
    <n v="0"/>
    <n v="11.3607081678702"/>
    <n v="0"/>
    <n v="0"/>
    <n v="83.060506401903808"/>
    <n v="0"/>
    <n v="0"/>
    <n v="0"/>
    <n v="0.84806950890780897"/>
    <n v="0"/>
    <n v="-7.5902478064795389"/>
    <m/>
    <n v="0"/>
    <n v="0"/>
    <n v="0"/>
    <n v="0"/>
    <n v="-0.91720424971370562"/>
    <n v="-0.23457276806245941"/>
    <n v="0"/>
    <n v="0"/>
    <m/>
    <m/>
    <m/>
    <n v="772.58886293097498"/>
    <n v="0"/>
    <n v="0"/>
    <n v="-335.51823999999999"/>
    <n v="83.062079999999924"/>
    <n v="0"/>
    <n v="0"/>
    <n v="-338.99059728438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0"/>
    <s v="Regular"/>
    <s v="Verde"/>
    <s v="A4"/>
    <s v="Comercial"/>
    <s v="Não se aplica"/>
    <s v="Não se aplica"/>
    <s v="Não se aplica"/>
    <s v="Ponta"/>
    <s v="CATIVO"/>
    <x v="10"/>
    <n v="0"/>
    <n v="0"/>
    <n v="2.4049999999999998"/>
    <n v="2.4049999999999998"/>
    <n v="2.4049999999999998"/>
    <n v="2.4049999999999998"/>
    <m/>
    <n v="2184.0300000000002"/>
    <n v="215.17"/>
    <m/>
    <n v="5770.076"/>
    <n v="5770.076"/>
    <n v="4353.9879499999997"/>
    <n v="0"/>
    <n v="127.81454352237242"/>
    <n v="0"/>
    <n v="0"/>
    <n v="0"/>
    <n v="1584.8812100983064"/>
    <n v="3513.5320229734339"/>
    <n v="506.8824598911097"/>
    <n v="10.598773516119227"/>
    <n v="0"/>
    <n v="0"/>
    <n v="0"/>
    <n v="0"/>
    <n v="22.701868489523719"/>
    <m/>
    <n v="1.65914371391873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981968456777361"/>
    <n v="0"/>
    <n v="0"/>
    <n v="0"/>
    <n v="0"/>
    <n v="0"/>
    <m/>
    <m/>
    <m/>
    <m/>
    <m/>
    <m/>
    <m/>
    <m/>
    <m/>
    <n v="508.88065673678744"/>
    <m/>
    <m/>
    <m/>
    <m/>
    <m/>
    <m/>
    <m/>
    <m/>
    <m/>
    <m/>
    <m/>
    <m/>
    <n v="4363.0398999999998"/>
    <n v="-1407.0661000000009"/>
    <m/>
    <m/>
    <m/>
    <m/>
    <n v="-1481.4559500000005"/>
    <n v="65.367900000000006"/>
    <n v="31"/>
    <n v="125.56376576410685"/>
    <n v="0"/>
    <n v="0"/>
    <n v="0"/>
    <n v="0"/>
    <n v="0"/>
    <n v="0"/>
    <n v="0"/>
    <n v="65.966214158142748"/>
    <n v="0"/>
    <n v="0"/>
    <n v="65.366661615372493"/>
    <n v="0"/>
    <n v="0"/>
    <n v="0"/>
    <n v="0.25768391567619919"/>
    <n v="0"/>
    <n v="-5.196811190407999"/>
    <m/>
    <n v="0"/>
    <n v="0"/>
    <n v="0"/>
    <n v="0"/>
    <n v="-0.72181813500047909"/>
    <n v="-0.10816459967677594"/>
    <n v="0"/>
    <n v="0"/>
    <m/>
    <m/>
    <m/>
    <n v="3513.5320229734339"/>
    <n v="0"/>
    <n v="0"/>
    <n v="-1481.4559500000009"/>
    <n v="65.367899999999963"/>
    <n v="0"/>
    <n v="0"/>
    <n v="-1541.640549317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1"/>
    <s v="Regular"/>
    <s v="Verde"/>
    <s v="A4"/>
    <s v="Comercial"/>
    <s v="Não se aplica"/>
    <s v="Não se aplica"/>
    <s v="Não se aplica"/>
    <s v="Fora ponta"/>
    <s v="CATIVO"/>
    <x v="10"/>
    <n v="0"/>
    <n v="0"/>
    <n v="26.928999999999998"/>
    <n v="26.928999999999998"/>
    <n v="26.928999999999998"/>
    <n v="26.928999999999998"/>
    <m/>
    <n v="64.11"/>
    <n v="215.17"/>
    <m/>
    <n v="7520.7311199999986"/>
    <n v="7520.7311199999986"/>
    <n v="8188.0317399999994"/>
    <n v="0"/>
    <n v="1431.1508700681775"/>
    <n v="0"/>
    <n v="0"/>
    <n v="0"/>
    <n v="0"/>
    <n v="0"/>
    <n v="5675.6082172173365"/>
    <n v="118.67541455949051"/>
    <n v="0"/>
    <n v="0"/>
    <n v="0"/>
    <n v="0"/>
    <n v="254.19485095816393"/>
    <m/>
    <n v="18.577580487367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373988714035658"/>
    <n v="0"/>
    <n v="0"/>
    <n v="0"/>
    <n v="0"/>
    <n v="0"/>
    <m/>
    <m/>
    <m/>
    <m/>
    <m/>
    <m/>
    <m/>
    <m/>
    <m/>
    <n v="5697.9822059313719"/>
    <m/>
    <m/>
    <m/>
    <m/>
    <m/>
    <m/>
    <m/>
    <m/>
    <m/>
    <m/>
    <m/>
    <m/>
    <n v="8188.3357999999998"/>
    <n v="667.57468000000063"/>
    <m/>
    <m/>
    <m/>
    <m/>
    <n v="-64.629599999999954"/>
    <n v="731.93022000000019"/>
    <n v="31"/>
    <n v="667.31911317962113"/>
    <n v="0"/>
    <n v="0"/>
    <n v="0"/>
    <n v="0"/>
    <n v="0"/>
    <n v="0"/>
    <n v="0"/>
    <n v="0"/>
    <n v="0"/>
    <n v="0"/>
    <n v="731.91635369661799"/>
    <n v="0"/>
    <n v="0"/>
    <n v="0"/>
    <n v="2.8853098400184507"/>
    <n v="0"/>
    <n v="-58.189159478792817"/>
    <m/>
    <n v="0"/>
    <n v="0"/>
    <n v="0"/>
    <n v="0"/>
    <n v="-8.0822621860407082"/>
    <n v="-1.2111286921812479"/>
    <n v="0"/>
    <n v="0"/>
    <m/>
    <m/>
    <m/>
    <n v="0"/>
    <n v="0"/>
    <n v="0"/>
    <n v="-64.629599999999982"/>
    <n v="731.930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2"/>
    <s v="Regular"/>
    <s v="Verde"/>
    <s v="A4"/>
    <s v="Comercial"/>
    <s v="Não se aplica"/>
    <s v="Não se aplica"/>
    <s v="Não se aplica"/>
    <s v="Não se aplica"/>
    <s v="CATIVO"/>
    <x v="10"/>
    <n v="85"/>
    <n v="85"/>
    <n v="0"/>
    <n v="0"/>
    <n v="0"/>
    <n v="0"/>
    <n v="28.04"/>
    <m/>
    <m/>
    <n v="2383.4"/>
    <m/>
    <n v="2383.4"/>
    <n v="1790.1"/>
    <n v="0"/>
    <n v="0"/>
    <n v="0"/>
    <n v="0"/>
    <n v="0"/>
    <n v="941.00757853286541"/>
    <n v="1442.8154915243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54.12"/>
    <n v="1"/>
    <m/>
    <m/>
    <m/>
    <m/>
    <m/>
    <m/>
    <m/>
    <m/>
    <m/>
    <n v="0"/>
    <m/>
    <m/>
    <m/>
    <m/>
    <m/>
    <m/>
    <m/>
    <m/>
    <m/>
    <m/>
    <m/>
    <m/>
    <n v="1790.1"/>
    <n v="-593.33000000000084"/>
    <m/>
    <m/>
    <m/>
    <m/>
    <n v="-593.30000000000007"/>
    <n v="0"/>
    <n v="31"/>
    <n v="39.166788687006488"/>
    <n v="0"/>
    <n v="0"/>
    <n v="0"/>
    <n v="0"/>
    <m/>
    <m/>
    <m/>
    <n v="39.1667886870064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2.815491524344"/>
    <m/>
    <n v="0"/>
    <n v="0"/>
    <n v="-593.30000000000018"/>
    <m/>
    <n v="0"/>
    <m/>
    <n v="-633.06748092057182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393"/>
    <s v="Regular"/>
    <s v="Branca"/>
    <s v="B3"/>
    <s v="Comercial"/>
    <s v="Não se aplica"/>
    <s v="Não se aplica"/>
    <s v="Não se aplica"/>
    <s v="Ponta"/>
    <s v="CATIVO"/>
    <x v="10"/>
    <n v="0"/>
    <n v="0"/>
    <n v="7.8E-2"/>
    <n v="7.8E-2"/>
    <n v="7.8E-2"/>
    <n v="7.8E-2"/>
    <m/>
    <n v="1254.27"/>
    <n v="215.17"/>
    <m/>
    <n v="114.61632"/>
    <n v="114.61632"/>
    <n v="87.68526"/>
    <n v="0"/>
    <n v="4.7647546513466015"/>
    <n v="0"/>
    <n v="0"/>
    <n v="0"/>
    <n v="24.040832272259244"/>
    <n v="68.031283348527481"/>
    <n v="16.439431131603559"/>
    <n v="0.34374400592819121"/>
    <n v="0"/>
    <n v="0"/>
    <n v="0"/>
    <n v="0"/>
    <n v="0.736276815876445"/>
    <m/>
    <n v="9.183700334955198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785089437141895"/>
    <n v="0"/>
    <n v="0"/>
    <n v="0"/>
    <n v="0"/>
    <n v="0"/>
    <m/>
    <m/>
    <m/>
    <m/>
    <m/>
    <m/>
    <m/>
    <m/>
    <m/>
    <n v="16.607282025974978"/>
    <m/>
    <m/>
    <m/>
    <m/>
    <m/>
    <m/>
    <m/>
    <m/>
    <m/>
    <m/>
    <m/>
    <m/>
    <n v="89.933600000000013"/>
    <n v="-24.712720000000004"/>
    <m/>
    <m/>
    <m/>
    <m/>
    <n v="-29.051099999999995"/>
    <n v="2.1200400000000004"/>
    <n v="31"/>
    <n v="2.9191498884028277"/>
    <n v="0"/>
    <n v="0"/>
    <n v="0"/>
    <n v="0"/>
    <n v="0"/>
    <n v="0"/>
    <n v="0"/>
    <n v="1.0006318960103719"/>
    <n v="0"/>
    <n v="0"/>
    <n v="2.1199998361742445"/>
    <n v="0"/>
    <n v="0"/>
    <n v="0"/>
    <n v="2.1645753172385179E-2"/>
    <n v="0"/>
    <n v="-0.19373014689312917"/>
    <m/>
    <n v="0"/>
    <n v="0"/>
    <n v="0"/>
    <n v="0"/>
    <n v="-2.3410317891907395E-2"/>
    <n v="-5.9871321691334495E-3"/>
    <n v="0"/>
    <n v="0"/>
    <m/>
    <m/>
    <m/>
    <n v="68.031283348527481"/>
    <n v="0"/>
    <n v="0"/>
    <n v="-29.051100000000005"/>
    <n v="2.1200399999999995"/>
    <n v="0"/>
    <n v="0"/>
    <n v="-29.85024310193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4"/>
    <s v="Regular"/>
    <s v="Branca"/>
    <s v="B3"/>
    <s v="Comercial"/>
    <s v="Não se aplica"/>
    <s v="Não se aplica"/>
    <s v="Não se aplica"/>
    <s v="Fora ponta"/>
    <s v="CATIVO"/>
    <x v="10"/>
    <n v="0"/>
    <n v="0"/>
    <n v="0.74099999999999999"/>
    <n v="0.74099999999999999"/>
    <n v="0.74099999999999999"/>
    <n v="0.74099999999999999"/>
    <m/>
    <n v="309.91000000000003"/>
    <n v="215.17"/>
    <m/>
    <n v="389.08428000000004"/>
    <n v="389.08428000000004"/>
    <n v="352.49369999999999"/>
    <n v="0"/>
    <n v="45.265169187792715"/>
    <n v="0"/>
    <n v="0"/>
    <n v="0"/>
    <n v="45.657952770039124"/>
    <n v="129.25956090599576"/>
    <n v="156.17459575023381"/>
    <n v="3.2655680563178162"/>
    <n v="0"/>
    <n v="0"/>
    <n v="0"/>
    <n v="0"/>
    <n v="6.9946297508262276"/>
    <m/>
    <n v="0.87245153182074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9458349652848"/>
    <n v="0"/>
    <n v="0"/>
    <n v="0"/>
    <n v="0"/>
    <n v="0"/>
    <m/>
    <m/>
    <m/>
    <m/>
    <m/>
    <m/>
    <m/>
    <m/>
    <m/>
    <n v="157.76917924676229"/>
    <m/>
    <m/>
    <m/>
    <m/>
    <m/>
    <m/>
    <m/>
    <m/>
    <m/>
    <m/>
    <m/>
    <m/>
    <n v="352.01800000000003"/>
    <n v="-37.096279999999979"/>
    <m/>
    <m/>
    <m/>
    <m/>
    <n v="-56.730960000000024"/>
    <n v="20.140380000000004"/>
    <n v="31"/>
    <n v="20.126304547182087"/>
    <n v="0"/>
    <n v="0"/>
    <n v="0"/>
    <n v="0"/>
    <n v="0"/>
    <n v="0"/>
    <n v="0"/>
    <n v="1.9003836194537129"/>
    <n v="0"/>
    <n v="0"/>
    <n v="20.139998443655344"/>
    <n v="0"/>
    <n v="0"/>
    <n v="0"/>
    <n v="0.20563465513765933"/>
    <n v="0"/>
    <n v="-1.8404363954847298"/>
    <m/>
    <n v="0"/>
    <n v="0"/>
    <n v="0"/>
    <n v="0"/>
    <n v="-0.22239801997312103"/>
    <n v="-5.6877755606767777E-2"/>
    <n v="0"/>
    <n v="0"/>
    <m/>
    <m/>
    <m/>
    <n v="129.25956090599576"/>
    <n v="0"/>
    <n v="0"/>
    <n v="-56.73096000000001"/>
    <n v="20.140379999999993"/>
    <n v="0"/>
    <n v="0"/>
    <n v="-56.71551566250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5"/>
    <s v="Regular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8.6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396"/>
    <s v="Regular"/>
    <s v="Branca"/>
    <s v="B3"/>
    <s v="Comercial"/>
    <s v="Não se aplica"/>
    <s v="Não se aplica"/>
    <s v="Não se aplica"/>
    <s v="Intermediário"/>
    <s v="CATIVO"/>
    <x v="10"/>
    <n v="0"/>
    <n v="0"/>
    <n v="5.1999999999999998E-2"/>
    <n v="5.1999999999999998E-2"/>
    <n v="5.1999999999999998E-2"/>
    <n v="5.1999999999999998E-2"/>
    <m/>
    <n v="782.07"/>
    <n v="215.17"/>
    <m/>
    <n v="51.856479999999998"/>
    <n v="51.856479999999998"/>
    <n v="41.595320000000001"/>
    <n v="0"/>
    <n v="3.1765031008977345"/>
    <n v="0"/>
    <n v="0"/>
    <n v="0"/>
    <n v="9.6144963196870119"/>
    <n v="27.212509039628795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39.9955"/>
    <n v="-11.890979999999992"/>
    <m/>
    <m/>
    <m/>
    <m/>
    <n v="-11.674520000000005"/>
    <n v="1.4133600000000004"/>
    <n v="31"/>
    <n v="1.6791883104818162"/>
    <n v="0"/>
    <n v="0"/>
    <n v="0"/>
    <n v="0"/>
    <n v="0"/>
    <n v="0"/>
    <n v="0"/>
    <n v="0.40017631555350874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27.212509039628795"/>
    <n v="0"/>
    <n v="0"/>
    <n v="-11.674520000000001"/>
    <n v="1.4133600000000008"/>
    <n v="0"/>
    <n v="0"/>
    <n v="-11.94009535415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7"/>
    <s v="Regular"/>
    <s v="Convencional"/>
    <s v="B2"/>
    <s v="Rural"/>
    <s v="Não se aplica"/>
    <s v="Não se aplica"/>
    <s v="Não se aplica"/>
    <s v="Não se aplica"/>
    <s v="CATIVO"/>
    <x v="10"/>
    <n v="0"/>
    <n v="0"/>
    <n v="348.16500000000002"/>
    <n v="348.16500000000002"/>
    <n v="348.16500000000002"/>
    <n v="348.16500000000002"/>
    <m/>
    <n v="415.98"/>
    <n v="215.17"/>
    <m/>
    <n v="219744.33975000001"/>
    <n v="219744.33975000001"/>
    <n v="190982.42910000001"/>
    <n v="0"/>
    <n v="21268.215425462688"/>
    <n v="0"/>
    <n v="0"/>
    <n v="0"/>
    <n v="31096.558007246607"/>
    <n v="88019.764876427653"/>
    <n v="73379.929999163505"/>
    <n v="1534.3542541537013"/>
    <n v="0"/>
    <n v="0"/>
    <n v="0"/>
    <n v="0"/>
    <n v="3286.484841020801"/>
    <m/>
    <n v="409.92859322047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9.22829024134717"/>
    <n v="0"/>
    <n v="0"/>
    <n v="0"/>
    <n v="28571.08"/>
    <n v="1534"/>
    <m/>
    <m/>
    <m/>
    <m/>
    <m/>
    <n v="22916.220300000001"/>
    <m/>
    <m/>
    <m/>
    <n v="74129.158289404848"/>
    <m/>
    <m/>
    <m/>
    <m/>
    <m/>
    <m/>
    <m/>
    <m/>
    <m/>
    <m/>
    <m/>
    <m/>
    <n v="168068.62239999999"/>
    <n v="-25305.730250000022"/>
    <m/>
    <m/>
    <m/>
    <m/>
    <n v="-38225.035350000013"/>
    <n v="9463.1247000000021"/>
    <n v="31"/>
    <n v="9857.9068122766039"/>
    <n v="0"/>
    <n v="0"/>
    <n v="0"/>
    <n v="0"/>
    <n v="0"/>
    <n v="0"/>
    <n v="0"/>
    <n v="1294.3065966186259"/>
    <n v="0"/>
    <n v="0"/>
    <n v="9462.9454225847003"/>
    <n v="0"/>
    <n v="0"/>
    <n v="0"/>
    <n v="96.619149400813967"/>
    <n v="0"/>
    <n v="-864.74431529546564"/>
    <m/>
    <n v="0"/>
    <n v="0"/>
    <n v="0"/>
    <n v="0"/>
    <n v="-104.49555549789693"/>
    <n v="-26.724485534183941"/>
    <n v="0"/>
    <n v="0"/>
    <m/>
    <m/>
    <m/>
    <n v="88019.764876427653"/>
    <n v="0"/>
    <n v="0"/>
    <n v="-38225.035350000006"/>
    <n v="9463.1247000000003"/>
    <n v="0"/>
    <n v="0"/>
    <n v="-38620.635243297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8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3.19"/>
    <n v="-3.19"/>
    <n v="-3.19"/>
    <n v="-3.19"/>
    <m/>
    <n v="415.98"/>
    <n v="215.17"/>
    <m/>
    <n v="-2013.3685"/>
    <n v="-2013.3685"/>
    <n v="-1749.8425999999999"/>
    <n v="0"/>
    <n v="-194.86624792045717"/>
    <n v="0"/>
    <n v="0"/>
    <n v="0"/>
    <n v="-284.91669192226868"/>
    <n v="-806.46546883174415"/>
    <n v="-672.33058089506858"/>
    <n v="-14.058248447576023"/>
    <n v="0"/>
    <n v="0"/>
    <n v="0"/>
    <n v="0"/>
    <n v="-30.111833880075121"/>
    <m/>
    <n v="-3.75589795750090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8646711928823905"/>
    <n v="0"/>
    <n v="0"/>
    <n v="0"/>
    <n v="-583.28"/>
    <n v="0"/>
    <m/>
    <m/>
    <m/>
    <m/>
    <m/>
    <n v="-209.96579999999997"/>
    <m/>
    <m/>
    <m/>
    <n v="-679.19525208795096"/>
    <m/>
    <m/>
    <m/>
    <m/>
    <m/>
    <m/>
    <m/>
    <m/>
    <m/>
    <m/>
    <m/>
    <m/>
    <n v="-1539.8768"/>
    <n v="231.85109999999986"/>
    <m/>
    <m/>
    <m/>
    <m/>
    <n v="350.23010000000005"/>
    <n v="-86.704200000000014"/>
    <n v="31"/>
    <n v="-90.321321014927207"/>
    <n v="0"/>
    <n v="0"/>
    <n v="0"/>
    <n v="0"/>
    <n v="0"/>
    <n v="0"/>
    <n v="0"/>
    <n v="-11.858854402979659"/>
    <n v="0"/>
    <n v="0"/>
    <n v="-86.70255740251082"/>
    <n v="0"/>
    <n v="0"/>
    <n v="0"/>
    <n v="-0.88525580281934246"/>
    <n v="0"/>
    <n v="7.9230662639625962"/>
    <m/>
    <n v="0"/>
    <n v="0"/>
    <n v="0"/>
    <n v="0"/>
    <n v="0.95742197532288031"/>
    <n v="0.24485835409661183"/>
    <n v="0"/>
    <n v="0"/>
    <m/>
    <m/>
    <m/>
    <n v="-806.46546883174415"/>
    <n v="0"/>
    <n v="0"/>
    <n v="350.23010000000011"/>
    <n v="-86.704200000000014"/>
    <n v="0"/>
    <n v="0"/>
    <n v="353.8547137883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399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9.1839999999999993"/>
    <n v="9.1839999999999993"/>
    <n v="9.1839999999999993"/>
    <n v="9.1839999999999993"/>
    <m/>
    <n v="415.98"/>
    <n v="215.17"/>
    <m/>
    <n v="5796.4815999999992"/>
    <n v="5796.4815999999992"/>
    <n v="5037.7913599999993"/>
    <n v="0"/>
    <n v="561.01931689701519"/>
    <n v="0"/>
    <n v="0"/>
    <n v="0"/>
    <n v="820.27426288843742"/>
    <n v="2321.811556661673"/>
    <n v="1935.6376347775265"/>
    <n v="40.473653210827024"/>
    <n v="0"/>
    <n v="0"/>
    <n v="0"/>
    <n v="0"/>
    <n v="86.691875346272695"/>
    <m/>
    <n v="10.813218445670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763366844962967"/>
    <n v="0"/>
    <n v="0"/>
    <n v="0"/>
    <n v="1728.38"/>
    <n v="25"/>
    <m/>
    <m/>
    <m/>
    <m/>
    <m/>
    <n v="604.49087999999983"/>
    <m/>
    <m/>
    <m/>
    <n v="1955.4010016224895"/>
    <m/>
    <m/>
    <m/>
    <m/>
    <m/>
    <m/>
    <m/>
    <m/>
    <m/>
    <m/>
    <m/>
    <m/>
    <n v="4431.3696"/>
    <n v="-669.54584000000068"/>
    <m/>
    <m/>
    <m/>
    <m/>
    <n v="-1008.3113600000001"/>
    <n v="249.62112000000005"/>
    <n v="31"/>
    <n v="260.03480006303926"/>
    <n v="0"/>
    <n v="0"/>
    <n v="0"/>
    <n v="0"/>
    <n v="0"/>
    <n v="0"/>
    <n v="0"/>
    <n v="34.141604651086254"/>
    <n v="0"/>
    <n v="0"/>
    <n v="249.61639096697786"/>
    <n v="0"/>
    <n v="0"/>
    <n v="0"/>
    <n v="2.5486486812203282"/>
    <n v="0"/>
    <n v="-22.810482936749963"/>
    <m/>
    <n v="0"/>
    <n v="0"/>
    <n v="0"/>
    <n v="0"/>
    <n v="-2.7564148656317684"/>
    <n v="-0.70494643386309797"/>
    <n v="0"/>
    <n v="0"/>
    <m/>
    <m/>
    <m/>
    <n v="2321.811556661673"/>
    <n v="0"/>
    <n v="0"/>
    <n v="-1008.3113600000001"/>
    <n v="249.62111999999979"/>
    <n v="0"/>
    <n v="0"/>
    <n v="-1018.7466117342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0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6.992999999999999"/>
    <n v="26.992999999999999"/>
    <n v="26.992999999999999"/>
    <n v="26.992999999999999"/>
    <m/>
    <n v="415.98"/>
    <n v="215.17"/>
    <m/>
    <n v="17036.631949999999"/>
    <n v="17036.631949999999"/>
    <n v="14806.74022"/>
    <n v="0"/>
    <n v="1648.9105423563951"/>
    <n v="0"/>
    <n v="0"/>
    <n v="0"/>
    <n v="2410.8953808958613"/>
    <n v="6824.1136050706164"/>
    <n v="5689.096981222754"/>
    <n v="118.95746092332902"/>
    <n v="0"/>
    <n v="0"/>
    <n v="0"/>
    <n v="0"/>
    <n v="254.79897552503689"/>
    <m/>
    <n v="31.78149014633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087169125227071"/>
    <n v="0"/>
    <n v="0"/>
    <n v="0"/>
    <n v="2500.96"/>
    <n v="51"/>
    <m/>
    <m/>
    <m/>
    <m/>
    <m/>
    <m/>
    <m/>
    <m/>
    <m/>
    <n v="5747.1841503479809"/>
    <m/>
    <m/>
    <m/>
    <m/>
    <m/>
    <m/>
    <m/>
    <m/>
    <m/>
    <m/>
    <m/>
    <m/>
    <n v="14805.094599999997"/>
    <n v="-2231.5673500000012"/>
    <m/>
    <m/>
    <m/>
    <m/>
    <n v="-2963.5614700000006"/>
    <n v="733.66974000000016"/>
    <n v="31"/>
    <n v="764.27693359120349"/>
    <n v="0"/>
    <n v="0"/>
    <n v="0"/>
    <n v="0"/>
    <n v="0"/>
    <n v="0"/>
    <n v="0"/>
    <n v="100.34672630082468"/>
    <n v="0"/>
    <n v="0"/>
    <n v="733.6558407416851"/>
    <n v="0"/>
    <n v="0"/>
    <n v="0"/>
    <n v="7.4908181459255516"/>
    <n v="0"/>
    <n v="-67.043049424182755"/>
    <m/>
    <n v="0"/>
    <n v="0"/>
    <n v="0"/>
    <n v="0"/>
    <n v="-8.101470652003286"/>
    <n v="-2.0719315210438332"/>
    <n v="0"/>
    <n v="0"/>
    <m/>
    <m/>
    <m/>
    <n v="6824.1136050706164"/>
    <n v="0"/>
    <n v="0"/>
    <n v="-2963.5614700000006"/>
    <n v="733.66974000000027"/>
    <n v="0"/>
    <n v="0"/>
    <n v="-2994.2320656077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1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117.774"/>
    <n v="117.774"/>
    <n v="117.774"/>
    <n v="117.774"/>
    <m/>
    <n v="228.79"/>
    <n v="118.34"/>
    <m/>
    <n v="40882.888619999998"/>
    <n v="40882.888619999998"/>
    <n v="35531.238059999996"/>
    <n v="0"/>
    <n v="3956.9271521696351"/>
    <n v="0"/>
    <n v="0"/>
    <n v="0"/>
    <n v="5785.4790473195362"/>
    <n v="16375.976573481035"/>
    <n v="13652.252040402662"/>
    <n v="285.4648539077279"/>
    <n v="0"/>
    <n v="0"/>
    <n v="0"/>
    <n v="0"/>
    <n v="611.44674541240863"/>
    <m/>
    <n v="76.2667458701230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39306639147009"/>
    <n v="0"/>
    <n v="0"/>
    <n v="0"/>
    <n v="7277.49"/>
    <n v="87"/>
    <m/>
    <m/>
    <m/>
    <m/>
    <m/>
    <m/>
    <m/>
    <m/>
    <m/>
    <n v="13791.645106794133"/>
    <m/>
    <m/>
    <m/>
    <m/>
    <m/>
    <m/>
    <m/>
    <m/>
    <m/>
    <m/>
    <m/>
    <m/>
    <n v="35530.031300000002"/>
    <n v="-5352.8873199999944"/>
    <m/>
    <m/>
    <m/>
    <m/>
    <n v="-7112.3718599999984"/>
    <n v="1760.7212999999986"/>
    <n v="31"/>
    <n v="1834.0522864159575"/>
    <n v="0"/>
    <n v="0"/>
    <n v="0"/>
    <n v="0"/>
    <n v="0"/>
    <n v="0"/>
    <n v="0"/>
    <n v="240.80426180284303"/>
    <n v="0"/>
    <n v="0"/>
    <n v="1760.5701716420244"/>
    <n v="0"/>
    <n v="0"/>
    <n v="0"/>
    <n v="17.975882227801975"/>
    <n v="0"/>
    <n v="-160.88469071929194"/>
    <m/>
    <n v="0"/>
    <n v="0"/>
    <n v="0"/>
    <n v="0"/>
    <n v="-19.441278572703709"/>
    <n v="-4.9720599647199464"/>
    <n v="0"/>
    <n v="0"/>
    <m/>
    <m/>
    <m/>
    <n v="16375.976573481035"/>
    <n v="0"/>
    <n v="0"/>
    <n v="-7112.3718599999993"/>
    <n v="1760.7212999999974"/>
    <n v="0"/>
    <n v="0"/>
    <n v="-7185.3250106394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2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9.311"/>
    <n v="18.152339999999999"/>
    <n v="19.311"/>
    <n v="18.152339999999999"/>
    <m/>
    <n v="415.98"/>
    <n v="215.17"/>
    <m/>
    <n v="12188.137650000001"/>
    <n v="12188.137650000001"/>
    <n v="10592.855939999999"/>
    <n v="0"/>
    <n v="1179.6432957968491"/>
    <n v="0"/>
    <n v="0"/>
    <n v="0"/>
    <n v="1724.7731152698841"/>
    <n v="4882.023407087715"/>
    <n v="4070.0237766973887"/>
    <n v="85.103083313837175"/>
    <n v="0"/>
    <n v="0"/>
    <n v="0"/>
    <n v="0"/>
    <n v="182.28514860756448"/>
    <m/>
    <n v="22.736722713887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556007964185532"/>
    <n v="0"/>
    <n v="0"/>
    <n v="0"/>
    <n v="2169.62"/>
    <n v="4"/>
    <m/>
    <m/>
    <m/>
    <m/>
    <n v="635.57135640000058"/>
    <m/>
    <m/>
    <m/>
    <m/>
    <n v="4111.5797846615742"/>
    <m/>
    <m/>
    <m/>
    <m/>
    <m/>
    <m/>
    <m/>
    <m/>
    <m/>
    <m/>
    <m/>
    <m/>
    <n v="9956.0009999999984"/>
    <n v="-1500.878391000002"/>
    <m/>
    <m/>
    <m/>
    <m/>
    <n v="-2120.1546900000003"/>
    <n v="524.8729800000001"/>
    <n v="31"/>
    <n v="546.76960191826765"/>
    <n v="0"/>
    <n v="0"/>
    <n v="0"/>
    <n v="0"/>
    <n v="0"/>
    <n v="0"/>
    <n v="0"/>
    <n v="71.788820494025231"/>
    <n v="0"/>
    <n v="0"/>
    <n v="524.86303636360117"/>
    <n v="0"/>
    <n v="0"/>
    <n v="0"/>
    <n v="5.35898896810167"/>
    <n v="0"/>
    <n v="-47.963113675041313"/>
    <m/>
    <n v="0"/>
    <n v="0"/>
    <n v="0"/>
    <n v="0"/>
    <n v="-5.7958544719310794"/>
    <n v="-1.4822757604889247"/>
    <n v="0"/>
    <n v="0"/>
    <m/>
    <m/>
    <m/>
    <n v="4882.023407087715"/>
    <n v="0"/>
    <n v="0"/>
    <n v="-2120.1546900000003"/>
    <n v="524.8729800000001"/>
    <n v="0"/>
    <n v="0"/>
    <n v="-2142.0966702090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3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1.8839999999999999"/>
    <n v="1.8839999999999999"/>
    <n v="1.8839999999999999"/>
    <n v="1.8839999999999999"/>
    <m/>
    <n v="415.98"/>
    <n v="215.17"/>
    <m/>
    <n v="1189.0866000000001"/>
    <n v="1189.0866000000001"/>
    <n v="1033.4493599999998"/>
    <n v="0"/>
    <n v="115.08715080944869"/>
    <n v="0"/>
    <n v="0"/>
    <n v="0"/>
    <n v="168.27054783120821"/>
    <n v="476.29496654514287"/>
    <n v="397.0754904095013"/>
    <n v="8.3027398354963093"/>
    <n v="0"/>
    <n v="0"/>
    <n v="0"/>
    <n v="0"/>
    <n v="17.783916937323362"/>
    <m/>
    <n v="2.2182168501353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42446794327347"/>
    <n v="0"/>
    <n v="0"/>
    <n v="0"/>
    <n v="211.67"/>
    <n v="1"/>
    <m/>
    <m/>
    <m/>
    <m/>
    <m/>
    <m/>
    <m/>
    <m/>
    <m/>
    <n v="401.12973508893401"/>
    <m/>
    <m/>
    <m/>
    <m/>
    <m/>
    <m/>
    <m/>
    <m/>
    <m/>
    <m/>
    <m/>
    <m/>
    <n v="1031.2552000000001"/>
    <n v="-157.8614"/>
    <m/>
    <m/>
    <m/>
    <m/>
    <n v="-206.84436000000002"/>
    <n v="51.20712000000001"/>
    <n v="31"/>
    <n v="53.343375796903956"/>
    <n v="0"/>
    <n v="0"/>
    <n v="0"/>
    <n v="0"/>
    <n v="0"/>
    <n v="0"/>
    <n v="0"/>
    <n v="7.003787365270739"/>
    <n v="0"/>
    <n v="0"/>
    <n v="51.20614988913178"/>
    <n v="0"/>
    <n v="0"/>
    <n v="0"/>
    <n v="0.5228281920099187"/>
    <n v="0"/>
    <n v="-4.6793281634186741"/>
    <m/>
    <n v="0"/>
    <n v="0"/>
    <n v="0"/>
    <n v="0"/>
    <n v="-0.56544921677376436"/>
    <n v="-0.14461226931599258"/>
    <n v="0"/>
    <n v="0"/>
    <m/>
    <m/>
    <m/>
    <n v="476.29496654514287"/>
    <n v="0"/>
    <n v="0"/>
    <n v="-206.84436000000005"/>
    <n v="51.207119999999975"/>
    <n v="0"/>
    <n v="0"/>
    <n v="-208.98504099600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4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1.82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05"/>
    <s v="Regular"/>
    <s v="Convencional"/>
    <s v="B2"/>
    <s v="Rural"/>
    <s v="Agropecuária rural"/>
    <s v="IRRIG./AQUIC."/>
    <s v="Não se aplica"/>
    <s v="Não se aplica"/>
    <s v="CATIVO"/>
    <x v="10"/>
    <n v="0"/>
    <n v="0"/>
    <n v="1.625"/>
    <n v="1.625"/>
    <n v="1.625"/>
    <n v="1.625"/>
    <m/>
    <n v="415.98"/>
    <n v="215.17"/>
    <m/>
    <n v="1025.6187500000001"/>
    <n v="1025.6187500000001"/>
    <n v="891.37749999999994"/>
    <n v="0"/>
    <n v="99.2657219030542"/>
    <n v="0"/>
    <n v="0"/>
    <n v="0"/>
    <n v="145.13781328328733"/>
    <n v="410.8170491697756"/>
    <n v="342.48814857507415"/>
    <n v="7.1613334568373164"/>
    <n v="0"/>
    <n v="0"/>
    <n v="0"/>
    <n v="0"/>
    <n v="15.339100330759271"/>
    <m/>
    <n v="1.9132709031156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96893632737895"/>
    <n v="0"/>
    <n v="0"/>
    <n v="0"/>
    <n v="0"/>
    <n v="0"/>
    <m/>
    <m/>
    <m/>
    <m/>
    <m/>
    <n v="106.95749999999998"/>
    <m/>
    <m/>
    <m/>
    <n v="345.98504220781206"/>
    <m/>
    <m/>
    <m/>
    <m/>
    <m/>
    <m/>
    <m/>
    <m/>
    <m/>
    <m/>
    <m/>
    <m/>
    <n v="786.83359999999993"/>
    <n v="-115.73765000000003"/>
    <m/>
    <m/>
    <m/>
    <m/>
    <n v="-178.40875000000003"/>
    <n v="44.167500000000011"/>
    <n v="31"/>
    <n v="46.01007731951654"/>
    <n v="0"/>
    <n v="0"/>
    <n v="0"/>
    <n v="0"/>
    <n v="0"/>
    <n v="0"/>
    <n v="0"/>
    <n v="6.0409524780068864"/>
    <n v="0"/>
    <n v="0"/>
    <n v="44.166663253630134"/>
    <n v="0"/>
    <n v="0"/>
    <n v="0"/>
    <n v="0.45095319109135756"/>
    <n v="0"/>
    <n v="-4.0360447269401902"/>
    <m/>
    <n v="0"/>
    <n v="0"/>
    <n v="0"/>
    <n v="0"/>
    <n v="-0.48771495608140469"/>
    <n v="-0.12473192019028012"/>
    <n v="0"/>
    <n v="0"/>
    <m/>
    <m/>
    <m/>
    <n v="410.8170491697756"/>
    <n v="0"/>
    <n v="0"/>
    <n v="-178.40875"/>
    <n v="44.167499999999961"/>
    <n v="0"/>
    <n v="0"/>
    <n v="-180.2551441711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6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0.98399999999999999"/>
    <n v="0.39360000000000001"/>
    <n v="0.98399999999999999"/>
    <n v="0.39360000000000001"/>
    <m/>
    <n v="415.98"/>
    <n v="215.17"/>
    <m/>
    <n v="621.05160000000001"/>
    <n v="621.05160000000001"/>
    <n v="539.76335999999992"/>
    <n v="0"/>
    <n v="60.10921252468021"/>
    <n v="0"/>
    <n v="0"/>
    <n v="0"/>
    <n v="87.886528166618305"/>
    <n v="248.76552392803643"/>
    <n v="207.38974658330645"/>
    <n v="4.3364628440171806"/>
    <n v="0"/>
    <n v="0"/>
    <n v="0"/>
    <n v="0"/>
    <n v="9.2884152156720745"/>
    <m/>
    <n v="1.1585591191789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175035905317467"/>
    <n v="0"/>
    <n v="0"/>
    <n v="0"/>
    <n v="0"/>
    <n v="0"/>
    <m/>
    <m/>
    <m/>
    <m/>
    <m/>
    <m/>
    <n v="349.76476799999995"/>
    <m/>
    <m/>
    <n v="209.5072501738382"/>
    <m/>
    <m/>
    <m/>
    <m/>
    <m/>
    <m/>
    <m/>
    <m/>
    <m/>
    <m/>
    <m/>
    <m/>
    <n v="188.26080000000002"/>
    <n v="-30.378575999999953"/>
    <m/>
    <m/>
    <m/>
    <m/>
    <n v="-108.03336000000002"/>
    <n v="26.745120000000007"/>
    <n v="31"/>
    <n v="27.860871435325691"/>
    <n v="0"/>
    <n v="0"/>
    <n v="0"/>
    <n v="0"/>
    <n v="0"/>
    <n v="0"/>
    <n v="0"/>
    <n v="3.6580290697592375"/>
    <n v="0"/>
    <n v="0"/>
    <n v="26.744613317890469"/>
    <n v="0"/>
    <n v="0"/>
    <n v="0"/>
    <n v="0.27306950155932075"/>
    <n v="0"/>
    <n v="-2.4439803146517889"/>
    <m/>
    <n v="0"/>
    <n v="0"/>
    <n v="0"/>
    <n v="0"/>
    <n v="-0.29533016417483182"/>
    <n v="-7.5529975056760401E-2"/>
    <n v="0"/>
    <n v="0"/>
    <m/>
    <m/>
    <m/>
    <n v="248.76552392803643"/>
    <n v="0"/>
    <n v="0"/>
    <n v="-108.03336000000002"/>
    <n v="26.745120000000014"/>
    <n v="0"/>
    <n v="0"/>
    <n v="-109.15142268580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7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.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08"/>
    <s v="Regular"/>
    <s v="Convencional"/>
    <s v="B2"/>
    <s v="Rural"/>
    <s v="Aquicultura"/>
    <s v="IRRIG./AQUIC."/>
    <s v="Não se aplica"/>
    <s v="Não se aplica"/>
    <s v="CATIVO"/>
    <x v="10"/>
    <n v="0"/>
    <n v="0"/>
    <n v="0.16"/>
    <n v="0.16"/>
    <n v="0.16"/>
    <n v="0.16"/>
    <m/>
    <n v="415.98"/>
    <n v="215.17"/>
    <m/>
    <n v="100.98400000000001"/>
    <n v="100.98400000000001"/>
    <n v="87.766400000000004"/>
    <n v="0"/>
    <n v="9.7738556950699529"/>
    <n v="0"/>
    <n v="0"/>
    <n v="0"/>
    <n v="14.290492384815984"/>
    <n v="40.449678687485601"/>
    <n v="33.721910013545759"/>
    <n v="0.70511590959628967"/>
    <n v="0"/>
    <n v="0"/>
    <n v="0"/>
    <n v="0"/>
    <n v="1.5103114171824512"/>
    <m/>
    <n v="0.1883835966144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4430952691573119"/>
    <n v="0"/>
    <n v="0"/>
    <n v="0"/>
    <n v="0"/>
    <n v="0"/>
    <m/>
    <m/>
    <m/>
    <m/>
    <m/>
    <n v="10.531199999999998"/>
    <m/>
    <m/>
    <m/>
    <n v="34.066219540461489"/>
    <m/>
    <m/>
    <m/>
    <m/>
    <m/>
    <m/>
    <m/>
    <m/>
    <m/>
    <m/>
    <m/>
    <m/>
    <n v="77.235200000000006"/>
    <n v="-11.660399999999996"/>
    <m/>
    <m/>
    <m/>
    <m/>
    <n v="-17.566400000000005"/>
    <n v="4.3488000000000016"/>
    <n v="31"/>
    <n v="4.530222997613933"/>
    <n v="0"/>
    <n v="0"/>
    <n v="0"/>
    <n v="0"/>
    <n v="0"/>
    <n v="0"/>
    <n v="0"/>
    <n v="0.5948014747576007"/>
    <n v="0"/>
    <n v="0"/>
    <n v="4.3487176126651192"/>
    <n v="0"/>
    <n v="0"/>
    <n v="0"/>
    <n v="4.4401544968995232E-2"/>
    <n v="0"/>
    <n v="-0.39739517311411277"/>
    <m/>
    <n v="0"/>
    <n v="0"/>
    <n v="0"/>
    <n v="0"/>
    <n v="-4.8021164906476788E-2"/>
    <n v="-1.228129675719683E-2"/>
    <n v="0"/>
    <n v="0"/>
    <m/>
    <m/>
    <m/>
    <n v="40.449678687485601"/>
    <n v="0"/>
    <n v="0"/>
    <n v="-17.566400000000009"/>
    <n v="4.3488000000000042"/>
    <n v="0"/>
    <n v="0"/>
    <n v="-17.748198810700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09"/>
    <s v="Regular"/>
    <s v="Convencional"/>
    <s v="B2"/>
    <s v="Rural"/>
    <s v="Aquicultura"/>
    <s v="IRRIG./AQUIC. PR"/>
    <s v="Não se aplica"/>
    <s v="Não se aplica"/>
    <s v="CATIVO"/>
    <x v="10"/>
    <n v="0"/>
    <n v="0"/>
    <n v="0.435"/>
    <n v="0.17399999999999999"/>
    <n v="0.435"/>
    <n v="0.17399999999999999"/>
    <m/>
    <n v="415.98"/>
    <n v="215.17"/>
    <m/>
    <n v="274.55025000000001"/>
    <n v="274.55025000000001"/>
    <n v="238.61489999999998"/>
    <n v="0"/>
    <n v="26.572670170971431"/>
    <n v="0"/>
    <n v="0"/>
    <n v="0"/>
    <n v="38.852276171218456"/>
    <n v="109.97256393160147"/>
    <n v="91.681442849327539"/>
    <n v="1.9170338792149124"/>
    <n v="0"/>
    <n v="0"/>
    <n v="0"/>
    <n v="0"/>
    <n v="4.1061591654647893"/>
    <m/>
    <n v="0.51216790329557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3609152630214409"/>
    <n v="0"/>
    <n v="0"/>
    <n v="0"/>
    <n v="0"/>
    <n v="0"/>
    <m/>
    <m/>
    <m/>
    <m/>
    <m/>
    <m/>
    <n v="154.62162000000001"/>
    <m/>
    <m/>
    <n v="92.617534375629688"/>
    <m/>
    <m/>
    <m/>
    <m/>
    <m/>
    <m/>
    <m/>
    <m/>
    <m/>
    <m/>
    <m/>
    <m/>
    <n v="82.062399999999997"/>
    <n v="-14.608940000000004"/>
    <m/>
    <m/>
    <m/>
    <m/>
    <n v="-47.75865000000001"/>
    <n v="11.823300000000003"/>
    <n v="31"/>
    <n v="12.316543774762806"/>
    <n v="0"/>
    <n v="0"/>
    <n v="0"/>
    <n v="0"/>
    <n v="0"/>
    <n v="0"/>
    <n v="0"/>
    <n v="1.6171165094972295"/>
    <n v="0"/>
    <n v="0"/>
    <n v="11.823076009433294"/>
    <n v="0"/>
    <n v="0"/>
    <n v="0"/>
    <n v="0.12071670038445581"/>
    <n v="0"/>
    <n v="-1.0804181269039894"/>
    <m/>
    <n v="0"/>
    <n v="0"/>
    <n v="0"/>
    <n v="0"/>
    <n v="-0.13055754208948356"/>
    <n v="-3.3389775558628876E-2"/>
    <n v="0"/>
    <n v="0"/>
    <m/>
    <m/>
    <m/>
    <n v="109.97256393160147"/>
    <n v="0"/>
    <n v="0"/>
    <n v="-47.758650000000017"/>
    <n v="11.823300000000003"/>
    <n v="0"/>
    <n v="0"/>
    <n v="-48.252915516592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0"/>
    <s v="PROJETADO"/>
    <s v="Convencional"/>
    <s v="B1"/>
    <s v="Residencial"/>
    <s v="Residencial"/>
    <s v="Não se aplica"/>
    <s v="Não se aplica"/>
    <s v="Não se aplica"/>
    <s v="CATIVO"/>
    <x v="11"/>
    <n v="0"/>
    <n v="0"/>
    <n v="482.822"/>
    <n v="482.822"/>
    <n v="482.822"/>
    <n v="482.822"/>
    <m/>
    <n v="415.98"/>
    <n v="215.17"/>
    <m/>
    <n v="304733.1053"/>
    <n v="304733.1053"/>
    <n v="264847.17988000001"/>
    <n v="0"/>
    <n v="29493.953465031653"/>
    <n v="0"/>
    <n v="0"/>
    <n v="0"/>
    <n v="43123.525713885145"/>
    <n v="122062.46727030732"/>
    <n v="101760.5002285012"/>
    <n v="2127.7842106443736"/>
    <n v="0"/>
    <n v="0"/>
    <n v="0"/>
    <n v="0"/>
    <n v="4557.5723691679095"/>
    <m/>
    <n v="568.47340552868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9.0013400281698"/>
    <n v="0"/>
    <n v="0"/>
    <n v="0"/>
    <n v="41817"/>
    <n v="2843"/>
    <m/>
    <m/>
    <m/>
    <m/>
    <m/>
    <m/>
    <m/>
    <m/>
    <m/>
    <n v="102799.50156852938"/>
    <m/>
    <m/>
    <m/>
    <m/>
    <m/>
    <m/>
    <m/>
    <m/>
    <m/>
    <m/>
    <m/>
    <m/>
    <n v="264846.08279999997"/>
    <n v="-39887.052500000049"/>
    <m/>
    <m/>
    <m/>
    <m/>
    <n v="-53009.027380000007"/>
    <n v="13123.101960000004"/>
    <n v="31"/>
    <n v="13670.570800962189"/>
    <n v="0"/>
    <n v="0"/>
    <n v="0"/>
    <n v="0"/>
    <n v="0"/>
    <n v="0"/>
    <n v="0"/>
    <n v="1794.8952352838387"/>
    <n v="0"/>
    <n v="0"/>
    <n v="13122.853344888732"/>
    <n v="0"/>
    <n v="0"/>
    <n v="0"/>
    <n v="133.98776715637632"/>
    <n v="0"/>
    <n v="-1199.1945767081343"/>
    <m/>
    <n v="0"/>
    <n v="0"/>
    <n v="0"/>
    <n v="0"/>
    <n v="-144.91046801546872"/>
    <n v="-37.060501643145471"/>
    <n v="0"/>
    <n v="0"/>
    <m/>
    <m/>
    <m/>
    <n v="122062.46727030732"/>
    <n v="0"/>
    <n v="0"/>
    <n v="-53009.027379999985"/>
    <n v="13123.10196"/>
    <n v="0"/>
    <n v="0"/>
    <n v="-53557.630288626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1"/>
    <s v="PROJETADO"/>
    <s v="Convencional"/>
    <s v="B1"/>
    <s v="Residencial"/>
    <s v="Residencial"/>
    <s v="Não se aplica"/>
    <s v="Não se aplica"/>
    <s v="Não se aplica"/>
    <s v="CATIVO"/>
    <x v="11"/>
    <n v="0"/>
    <n v="0"/>
    <n v="3.181"/>
    <n v="3.181"/>
    <n v="3.181"/>
    <n v="3.181"/>
    <m/>
    <n v="415.98"/>
    <n v="215.17"/>
    <m/>
    <n v="2007.68815"/>
    <n v="2007.68815"/>
    <n v="1744.9057400000002"/>
    <n v="0"/>
    <n v="194.3164685376095"/>
    <n v="0"/>
    <n v="0"/>
    <n v="0"/>
    <n v="284.11285172562282"/>
    <n v="804.19017440557309"/>
    <n v="670.43372345680666"/>
    <n v="14.018585677661234"/>
    <n v="0"/>
    <n v="0"/>
    <n v="0"/>
    <n v="0"/>
    <n v="30.026878862858609"/>
    <m/>
    <n v="3.7453013801913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453037819933806"/>
    <n v="0"/>
    <n v="0"/>
    <n v="0"/>
    <n v="571.71"/>
    <n v="20"/>
    <m/>
    <m/>
    <m/>
    <m/>
    <m/>
    <m/>
    <m/>
    <m/>
    <m/>
    <n v="677.27902723880004"/>
    <m/>
    <m/>
    <m/>
    <m/>
    <m/>
    <m/>
    <m/>
    <m/>
    <m/>
    <m/>
    <m/>
    <m/>
    <n v="1744.3571999999999"/>
    <n v="-263.36095"/>
    <m/>
    <m/>
    <m/>
    <m/>
    <n v="-349.24199000000004"/>
    <n v="86.459580000000017"/>
    <n v="31"/>
    <n v="90.066495971311724"/>
    <n v="0"/>
    <n v="0"/>
    <n v="0"/>
    <n v="0"/>
    <n v="0"/>
    <n v="0"/>
    <n v="0"/>
    <n v="11.825396820024537"/>
    <n v="0"/>
    <n v="0"/>
    <n v="86.457942036798386"/>
    <n v="0"/>
    <n v="0"/>
    <n v="0"/>
    <n v="0.88275821591483705"/>
    <n v="0"/>
    <n v="-7.9007127854749513"/>
    <m/>
    <n v="0"/>
    <n v="0"/>
    <n v="0"/>
    <n v="0"/>
    <n v="-0.9547207847968906"/>
    <n v="-0.24416753115401901"/>
    <n v="0"/>
    <n v="0"/>
    <m/>
    <m/>
    <m/>
    <n v="804.19017440557309"/>
    <n v="0"/>
    <n v="0"/>
    <n v="-349.2419900000001"/>
    <n v="86.459580000000074"/>
    <n v="0"/>
    <n v="0"/>
    <n v="-352.85637760524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2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7.86"/>
    <n v="7.86"/>
    <n v="7.86"/>
    <n v="7.86"/>
    <m/>
    <n v="345.46"/>
    <n v="215.17"/>
    <m/>
    <n v="4406.5518000000002"/>
    <n v="4406.5518000000002"/>
    <n v="3779.0880000000002"/>
    <n v="0"/>
    <n v="0"/>
    <n v="0"/>
    <n v="0"/>
    <n v="0"/>
    <n v="702.02043840408521"/>
    <n v="1987.09046552273"/>
    <n v="1656.5888294154356"/>
    <n v="34.638819058917726"/>
    <n v="0"/>
    <n v="0"/>
    <n v="0"/>
    <n v="0"/>
    <n v="0"/>
    <m/>
    <n v="9.25434418368562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14205509735297"/>
    <n v="0"/>
    <n v="0"/>
    <n v="0"/>
    <n v="180.78"/>
    <n v="14"/>
    <m/>
    <m/>
    <m/>
    <m/>
    <m/>
    <m/>
    <m/>
    <n v="2456.4072000000001"/>
    <m/>
    <n v="1673.5030349251708"/>
    <m/>
    <m/>
    <m/>
    <m/>
    <m/>
    <m/>
    <m/>
    <m/>
    <m/>
    <m/>
    <m/>
    <m/>
    <n v="1322.6808000000001"/>
    <n v="-219.63840000000005"/>
    <m/>
    <m/>
    <m/>
    <m/>
    <n v="-841.09859999999992"/>
    <n v="213.63480000000007"/>
    <n v="31"/>
    <n v="244.42828236304604"/>
    <n v="0"/>
    <n v="0"/>
    <n v="0"/>
    <n v="0"/>
    <n v="0"/>
    <n v="0"/>
    <n v="0"/>
    <n v="29.219622447467145"/>
    <n v="0"/>
    <n v="0"/>
    <n v="213.63075272217407"/>
    <n v="0"/>
    <n v="0"/>
    <n v="0"/>
    <n v="2.1812258966018909"/>
    <n v="0"/>
    <n v="0"/>
    <m/>
    <n v="0"/>
    <n v="0"/>
    <n v="0"/>
    <n v="0"/>
    <n v="0"/>
    <n v="-0.60331870319729397"/>
    <n v="0"/>
    <n v="0"/>
    <m/>
    <m/>
    <m/>
    <n v="1987.09046552273"/>
    <n v="0"/>
    <n v="0"/>
    <n v="-841.09859999999981"/>
    <n v="213.63480000000004"/>
    <n v="0"/>
    <n v="0"/>
    <n v="-871.88026657567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3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5.704000000000001"/>
    <n v="15.704000000000001"/>
    <n v="15.704000000000001"/>
    <n v="15.704000000000001"/>
    <m/>
    <n v="345.46"/>
    <n v="215.17"/>
    <m/>
    <n v="8804.1335199999994"/>
    <n v="8804.1335199999994"/>
    <n v="7550.4832000000006"/>
    <n v="0"/>
    <n v="0"/>
    <n v="0"/>
    <n v="0"/>
    <n v="0"/>
    <n v="1402.611827569689"/>
    <n v="3970.1359631767118"/>
    <n v="3309.8054678295166"/>
    <n v="69.207126526875825"/>
    <n v="0"/>
    <n v="0"/>
    <n v="0"/>
    <n v="0"/>
    <n v="0"/>
    <m/>
    <n v="18.489850007709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793980066779014"/>
    <n v="0"/>
    <n v="0"/>
    <n v="0"/>
    <n v="617.02"/>
    <n v="59"/>
    <m/>
    <m/>
    <m/>
    <m/>
    <m/>
    <m/>
    <m/>
    <n v="3020.19328"/>
    <m/>
    <n v="3343.5994478962957"/>
    <m/>
    <m/>
    <m/>
    <m/>
    <m/>
    <m/>
    <m/>
    <m/>
    <m/>
    <m/>
    <m/>
    <m/>
    <n v="4529.1359999999995"/>
    <n v="-753.24848000000111"/>
    <m/>
    <m/>
    <m/>
    <m/>
    <n v="-1680.48504"/>
    <n v="426.83472000000012"/>
    <n v="31"/>
    <n v="488.3590007925286"/>
    <n v="0"/>
    <n v="0"/>
    <n v="0"/>
    <n v="0"/>
    <n v="0"/>
    <n v="0"/>
    <n v="0"/>
    <n v="58.379764747458466"/>
    <n v="0"/>
    <n v="0"/>
    <n v="426.82663368308158"/>
    <n v="0"/>
    <n v="0"/>
    <n v="0"/>
    <n v="4.3580116387068841"/>
    <n v="0"/>
    <n v="0"/>
    <m/>
    <n v="0"/>
    <n v="0"/>
    <n v="0"/>
    <n v="0"/>
    <n v="0"/>
    <n v="-1.2054092767188713"/>
    <n v="0"/>
    <n v="0"/>
    <m/>
    <m/>
    <m/>
    <n v="3970.1359631767118"/>
    <n v="0"/>
    <n v="0"/>
    <n v="-1680.4850399999996"/>
    <n v="426.83471999999983"/>
    <n v="0"/>
    <n v="0"/>
    <n v="-1741.985713270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4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4.917"/>
    <n v="14.917"/>
    <n v="14.917"/>
    <n v="14.917"/>
    <m/>
    <n v="345.46"/>
    <n v="215.17"/>
    <m/>
    <n v="8362.9177099999997"/>
    <n v="8362.9177099999997"/>
    <n v="7172.0935999999992"/>
    <n v="0"/>
    <n v="0"/>
    <n v="0"/>
    <n v="0"/>
    <n v="0"/>
    <n v="1332.3204681518753"/>
    <n v="3771.1741061326416"/>
    <n v="3143.9358229503882"/>
    <n v="65.738837646549072"/>
    <n v="0"/>
    <n v="0"/>
    <n v="0"/>
    <n v="0"/>
    <n v="0"/>
    <m/>
    <n v="17.563238191862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10040758126226"/>
    <n v="0"/>
    <n v="0"/>
    <n v="0"/>
    <n v="1080.1300000000001"/>
    <n v="124"/>
    <m/>
    <m/>
    <m/>
    <m/>
    <m/>
    <m/>
    <m/>
    <n v="717.35852999999963"/>
    <m/>
    <n v="3176.0362305316503"/>
    <m/>
    <m/>
    <m/>
    <m/>
    <m/>
    <m/>
    <m/>
    <m/>
    <m/>
    <m/>
    <m/>
    <m/>
    <n v="6456.0331999999999"/>
    <n v="-1070.518320000001"/>
    <m/>
    <m/>
    <m/>
    <m/>
    <n v="-1596.2681699999998"/>
    <n v="405.44406000000009"/>
    <n v="31"/>
    <n v="463.88507481037595"/>
    <n v="0"/>
    <n v="0"/>
    <n v="0"/>
    <n v="0"/>
    <n v="0"/>
    <n v="0"/>
    <n v="0"/>
    <n v="55.454084993494462"/>
    <n v="0"/>
    <n v="0"/>
    <n v="405.43637892578499"/>
    <n v="0"/>
    <n v="0"/>
    <n v="0"/>
    <n v="4.1396115393906427"/>
    <n v="0"/>
    <n v="0"/>
    <m/>
    <n v="0"/>
    <n v="0"/>
    <n v="0"/>
    <n v="0"/>
    <n v="0"/>
    <n v="-1.1450006482944062"/>
    <n v="0"/>
    <n v="0"/>
    <m/>
    <m/>
    <m/>
    <n v="3771.1741061326416"/>
    <n v="0"/>
    <n v="0"/>
    <n v="-1596.2681700000003"/>
    <n v="405.44405999999981"/>
    <n v="0"/>
    <n v="0"/>
    <n v="-1654.686760370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5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4.8789999999999996"/>
    <n v="4.8789999999999996"/>
    <n v="4.8789999999999996"/>
    <n v="4.8789999999999996"/>
    <m/>
    <n v="345.46"/>
    <n v="215.17"/>
    <m/>
    <n v="2735.3137699999997"/>
    <n v="2735.3137699999997"/>
    <n v="2345.8231999999998"/>
    <n v="0"/>
    <n v="0"/>
    <n v="0"/>
    <n v="0"/>
    <n v="0"/>
    <n v="435.77070215948237"/>
    <n v="1233.4623894765139"/>
    <n v="1028.3074934755609"/>
    <n v="21.501628268251853"/>
    <n v="0"/>
    <n v="0"/>
    <n v="0"/>
    <n v="0"/>
    <n v="0"/>
    <m/>
    <n v="5.7445222992623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99288636386577"/>
    <n v="0"/>
    <n v="0"/>
    <n v="0"/>
    <n v="480.7"/>
    <n v="65"/>
    <m/>
    <m/>
    <m/>
    <m/>
    <m/>
    <m/>
    <m/>
    <m/>
    <m/>
    <n v="1038.8067821119475"/>
    <m/>
    <m/>
    <m/>
    <m/>
    <m/>
    <m/>
    <m/>
    <m/>
    <m/>
    <m/>
    <m/>
    <m/>
    <n v="2346.3040000000001"/>
    <n v="-389.03976999999986"/>
    <m/>
    <m/>
    <m/>
    <m/>
    <n v="-522.10178999999994"/>
    <n v="132.61122000000003"/>
    <n v="31"/>
    <n v="151.72590199100523"/>
    <n v="0"/>
    <n v="0"/>
    <n v="0"/>
    <n v="0"/>
    <n v="0"/>
    <n v="0"/>
    <n v="0"/>
    <n v="18.137727470889615"/>
    <n v="0"/>
    <n v="0"/>
    <n v="132.60870770120709"/>
    <n v="0"/>
    <n v="0"/>
    <n v="0"/>
    <n v="1.3539696118982985"/>
    <n v="0"/>
    <n v="0"/>
    <m/>
    <n v="0"/>
    <n v="0"/>
    <n v="0"/>
    <n v="0"/>
    <n v="0"/>
    <n v="-0.37450279298977041"/>
    <n v="0"/>
    <n v="0"/>
    <m/>
    <m/>
    <m/>
    <n v="1233.4623894765139"/>
    <n v="0"/>
    <n v="0"/>
    <n v="-522.10178999999994"/>
    <n v="132.61122"/>
    <n v="0"/>
    <n v="0"/>
    <n v="-541.2091374838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6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23.27"/>
    <n v="23.27"/>
    <n v="23.27"/>
    <n v="23.27"/>
    <m/>
    <n v="415.98"/>
    <n v="215.17"/>
    <m/>
    <n v="14686.860499999999"/>
    <n v="14686.860499999999"/>
    <n v="12764.525799999999"/>
    <n v="0"/>
    <n v="1421.4851376517361"/>
    <n v="0"/>
    <n v="0"/>
    <n v="0"/>
    <n v="2078.3734862166748"/>
    <n v="5882.9001441111868"/>
    <n v="4904.4302875950616"/>
    <n v="102.55029510191036"/>
    <n v="0"/>
    <n v="0"/>
    <n v="0"/>
    <n v="0"/>
    <n v="219.65591673647276"/>
    <m/>
    <n v="27.398039332616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075516820806655"/>
    <n v="0"/>
    <n v="0"/>
    <n v="0"/>
    <n v="2614.37"/>
    <n v="42"/>
    <m/>
    <m/>
    <m/>
    <m/>
    <m/>
    <m/>
    <m/>
    <m/>
    <m/>
    <n v="4954.5058044158686"/>
    <m/>
    <m/>
    <m/>
    <m/>
    <m/>
    <m/>
    <m/>
    <m/>
    <m/>
    <m/>
    <m/>
    <m/>
    <n v="12764.525799999999"/>
    <n v="-1922.3647000000001"/>
    <m/>
    <m/>
    <m/>
    <m/>
    <n v="-2554.8133000000003"/>
    <n v="632.47860000000014"/>
    <n v="31"/>
    <n v="658.86430721547731"/>
    <n v="0"/>
    <n v="0"/>
    <n v="0"/>
    <n v="0"/>
    <n v="0"/>
    <n v="0"/>
    <n v="0"/>
    <n v="86.506439485058308"/>
    <n v="0"/>
    <n v="0"/>
    <n v="632.46661779198348"/>
    <n v="0"/>
    <n v="0"/>
    <n v="0"/>
    <n v="6.4576496964282413"/>
    <n v="0"/>
    <n v="-57.79616048978346"/>
    <m/>
    <n v="0"/>
    <n v="0"/>
    <n v="0"/>
    <n v="0"/>
    <n v="-6.9840781710857414"/>
    <n v="-1.7861610971248147"/>
    <n v="0"/>
    <n v="0"/>
    <m/>
    <m/>
    <m/>
    <n v="5882.9001441111868"/>
    <n v="0"/>
    <n v="0"/>
    <n v="-2554.8133000000007"/>
    <n v="632.47860000000037"/>
    <n v="0"/>
    <n v="0"/>
    <n v="-2581.2536645312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7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2.7879999999999998"/>
    <n v="2.7879999999999998"/>
    <n v="2.7879999999999998"/>
    <n v="2.7879999999999998"/>
    <m/>
    <n v="415.98"/>
    <n v="215.17"/>
    <m/>
    <n v="1759.6461999999999"/>
    <n v="1759.6461999999999"/>
    <n v="1529.3295199999998"/>
    <n v="0"/>
    <n v="170.30943548659391"/>
    <n v="0"/>
    <n v="0"/>
    <n v="0"/>
    <n v="249.0118298054185"/>
    <n v="704.83565112943654"/>
    <n v="587.60428198603483"/>
    <n v="12.286644724715346"/>
    <n v="0"/>
    <n v="0"/>
    <n v="0"/>
    <n v="0"/>
    <n v="26.317176444404211"/>
    <m/>
    <n v="3.2825841710070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995935065066153"/>
    <n v="0"/>
    <n v="0"/>
    <n v="0"/>
    <n v="858.72"/>
    <n v="3"/>
    <m/>
    <m/>
    <m/>
    <m/>
    <m/>
    <m/>
    <m/>
    <m/>
    <m/>
    <n v="593.60387549254142"/>
    <m/>
    <m/>
    <m/>
    <m/>
    <m/>
    <m/>
    <m/>
    <m/>
    <m/>
    <m/>
    <m/>
    <m/>
    <n v="1530.4265999999998"/>
    <n v="-229.2496000000001"/>
    <m/>
    <m/>
    <m/>
    <m/>
    <n v="-306.09452000000005"/>
    <n v="75.777840000000012"/>
    <n v="31"/>
    <n v="78.939135733422745"/>
    <n v="0"/>
    <n v="0"/>
    <n v="0"/>
    <n v="0"/>
    <n v="0"/>
    <n v="0"/>
    <n v="0"/>
    <n v="10.364415697651197"/>
    <n v="0"/>
    <n v="0"/>
    <n v="75.776404400689671"/>
    <n v="0"/>
    <n v="0"/>
    <n v="0"/>
    <n v="0.77369692108474197"/>
    <n v="0"/>
    <n v="-6.9246108915133959"/>
    <m/>
    <n v="0"/>
    <n v="0"/>
    <n v="0"/>
    <n v="0"/>
    <n v="-0.83676879849535624"/>
    <n v="-0.21400159599415458"/>
    <n v="0"/>
    <n v="0"/>
    <m/>
    <m/>
    <m/>
    <n v="704.83565112943654"/>
    <n v="0"/>
    <n v="0"/>
    <n v="-306.0945200000001"/>
    <n v="75.777840000000083"/>
    <n v="0"/>
    <n v="0"/>
    <n v="-309.26236427646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8"/>
    <s v="PROJETADO"/>
    <s v="Verde"/>
    <s v="A4"/>
    <s v="Industrial"/>
    <s v="Não se aplica"/>
    <s v="Não se aplica"/>
    <s v="Não se aplica"/>
    <s v="Ponta"/>
    <s v="CATIVO"/>
    <x v="11"/>
    <n v="0"/>
    <n v="0"/>
    <n v="114.94499999999999"/>
    <n v="114.94499999999999"/>
    <n v="114.94499999999999"/>
    <n v="114.94499999999999"/>
    <m/>
    <n v="2184.0300000000002"/>
    <n v="215.17"/>
    <m/>
    <n v="275776.04399999999"/>
    <n v="275776.04399999999"/>
    <n v="208095.27854999999"/>
    <n v="0"/>
    <n v="6108.7911456046149"/>
    <n v="0"/>
    <n v="0"/>
    <n v="0"/>
    <n v="75748.095922972905"/>
    <n v="167926.37770506501"/>
    <n v="24226.03091566886"/>
    <n v="506.55967642840943"/>
    <n v="0"/>
    <n v="0"/>
    <n v="0"/>
    <n v="0"/>
    <n v="1085.0171615502302"/>
    <m/>
    <n v="79.297411308269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502177308285809"/>
    <n v="0"/>
    <n v="0"/>
    <n v="0"/>
    <n v="0"/>
    <n v="0"/>
    <m/>
    <m/>
    <m/>
    <m/>
    <m/>
    <m/>
    <m/>
    <m/>
    <m/>
    <n v="24321.533092977144"/>
    <m/>
    <m/>
    <m/>
    <m/>
    <m/>
    <m/>
    <m/>
    <m/>
    <m/>
    <m/>
    <m/>
    <m/>
    <n v="208104.33050000001"/>
    <n v="-67671.743500000011"/>
    <m/>
    <m/>
    <m/>
    <m/>
    <n v="-70804.970550000027"/>
    <n v="3124.2051000000006"/>
    <n v="31"/>
    <n v="6001.2170710000646"/>
    <n v="0"/>
    <n v="0"/>
    <n v="0"/>
    <n v="0"/>
    <n v="0"/>
    <n v="0"/>
    <n v="0"/>
    <n v="3152.8010338493623"/>
    <n v="0"/>
    <n v="0"/>
    <n v="3124.1459124236972"/>
    <n v="0"/>
    <n v="0"/>
    <n v="0"/>
    <n v="12.315791138212376"/>
    <n v="0"/>
    <n v="-248.37732319394945"/>
    <m/>
    <n v="0"/>
    <n v="0"/>
    <n v="0"/>
    <n v="0"/>
    <n v="-34.498705001093413"/>
    <n v="-5.169638216152606"/>
    <n v="0"/>
    <n v="0"/>
    <m/>
    <m/>
    <m/>
    <n v="167926.37770506501"/>
    <n v="0"/>
    <n v="0"/>
    <n v="-70804.970549999998"/>
    <n v="3124.2050999999992"/>
    <n v="0"/>
    <n v="0"/>
    <n v="-73681.444050442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19"/>
    <s v="PROJETADO"/>
    <s v="Verde"/>
    <s v="A4"/>
    <s v="Industrial"/>
    <s v="Não se aplica"/>
    <s v="Não se aplica"/>
    <s v="Não se aplica"/>
    <s v="Fora ponta"/>
    <s v="CATIVO"/>
    <x v="11"/>
    <n v="0"/>
    <n v="0"/>
    <n v="1986.702"/>
    <n v="1986.702"/>
    <n v="1986.702"/>
    <n v="1986.702"/>
    <m/>
    <n v="64.11"/>
    <n v="215.17"/>
    <m/>
    <n v="554846.13455999992"/>
    <n v="554846.13455999992"/>
    <n v="604076.61011999997"/>
    <n v="0"/>
    <n v="105583.95394801845"/>
    <n v="0"/>
    <n v="0"/>
    <n v="0"/>
    <n v="0"/>
    <n v="0"/>
    <n v="418721.16292332119"/>
    <n v="8755.3449239172987"/>
    <n v="0"/>
    <n v="0"/>
    <n v="0"/>
    <n v="0"/>
    <n v="18753.366957120063"/>
    <m/>
    <n v="1370.5713657920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0.653500915447"/>
    <n v="0"/>
    <n v="0"/>
    <n v="0"/>
    <n v="0"/>
    <n v="0"/>
    <m/>
    <m/>
    <m/>
    <m/>
    <m/>
    <m/>
    <m/>
    <m/>
    <m/>
    <n v="420371.81642423663"/>
    <m/>
    <m/>
    <m/>
    <m/>
    <m/>
    <m/>
    <m/>
    <m/>
    <m/>
    <m/>
    <m/>
    <m/>
    <n v="604076.00199999998"/>
    <n v="49229.837440000032"/>
    <m/>
    <m/>
    <m/>
    <m/>
    <n v="-4768.0847999999969"/>
    <n v="53998.56036000001"/>
    <n v="31"/>
    <n v="49231.839904644992"/>
    <n v="0"/>
    <n v="0"/>
    <n v="0"/>
    <n v="0"/>
    <n v="0"/>
    <n v="0"/>
    <n v="0"/>
    <n v="0"/>
    <n v="0"/>
    <n v="0"/>
    <n v="53997.537365731376"/>
    <n v="0"/>
    <n v="0"/>
    <n v="0"/>
    <n v="212.86534330217751"/>
    <n v="0"/>
    <n v="-4292.9377071126655"/>
    <m/>
    <n v="0"/>
    <n v="0"/>
    <n v="0"/>
    <n v="0"/>
    <n v="-596.27340226266824"/>
    <n v="-89.351695013326662"/>
    <n v="0"/>
    <n v="0"/>
    <m/>
    <m/>
    <m/>
    <n v="0"/>
    <n v="0"/>
    <n v="0"/>
    <n v="-4768.0847999999969"/>
    <n v="53998.5603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0"/>
    <s v="PROJETADO"/>
    <s v="Verde"/>
    <s v="A4"/>
    <s v="Industrial"/>
    <s v="Não se aplica"/>
    <s v="Não se aplica"/>
    <s v="Não se aplica"/>
    <s v="Não se aplica"/>
    <s v="CATIVO"/>
    <x v="11"/>
    <n v="6303"/>
    <n v="6303"/>
    <n v="0"/>
    <n v="0"/>
    <n v="0"/>
    <n v="0"/>
    <n v="28.04"/>
    <m/>
    <m/>
    <n v="176736.12"/>
    <m/>
    <n v="176736.12"/>
    <n v="132741.18"/>
    <n v="0"/>
    <n v="0"/>
    <n v="0"/>
    <n v="0"/>
    <n v="0"/>
    <n v="69778.479617560602"/>
    <n v="106989.012271505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8001.8"/>
    <n v="16"/>
    <m/>
    <m/>
    <m/>
    <m/>
    <m/>
    <m/>
    <m/>
    <m/>
    <m/>
    <n v="0"/>
    <m/>
    <m/>
    <m/>
    <m/>
    <m/>
    <m/>
    <m/>
    <m/>
    <m/>
    <m/>
    <m/>
    <m/>
    <n v="132741.18"/>
    <n v="-43994.97000000003"/>
    <m/>
    <m/>
    <m/>
    <m/>
    <n v="-43994.94"/>
    <n v="0"/>
    <n v="31"/>
    <n v="2904.3325775788398"/>
    <n v="0"/>
    <n v="0"/>
    <n v="0"/>
    <n v="0"/>
    <m/>
    <m/>
    <m/>
    <n v="2904.33257757883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6989.01227150518"/>
    <m/>
    <n v="0"/>
    <n v="0"/>
    <n v="-43994.94"/>
    <m/>
    <n v="0"/>
    <m/>
    <n v="-46943.815673439582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421"/>
    <s v="PROJETADO"/>
    <s v="Verde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0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22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60.21700000000001"/>
    <n v="160.21700000000001"/>
    <n v="160.21700000000001"/>
    <n v="160.21700000000001"/>
    <m/>
    <n v="415.98"/>
    <n v="215.17"/>
    <m/>
    <n v="101120.95955000001"/>
    <n v="101120.95955000001"/>
    <n v="87885.433180000007"/>
    <n v="0"/>
    <n v="9787.1114868563909"/>
    <n v="0"/>
    <n v="0"/>
    <n v="0"/>
    <n v="14309.873865112892"/>
    <n v="40504.538564205504"/>
    <n v="33767.645354001637"/>
    <n v="706.07222304867969"/>
    <n v="0"/>
    <n v="0"/>
    <n v="0"/>
    <n v="0"/>
    <n v="1512.3597770420051"/>
    <m/>
    <n v="188.63909186737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.77649671161066"/>
    <n v="0"/>
    <n v="0"/>
    <n v="0"/>
    <n v="17658.02"/>
    <n v="442"/>
    <m/>
    <m/>
    <m/>
    <m/>
    <m/>
    <m/>
    <m/>
    <m/>
    <m/>
    <n v="34112.421850713246"/>
    <m/>
    <m/>
    <m/>
    <m/>
    <m/>
    <m/>
    <m/>
    <m/>
    <m/>
    <m/>
    <m/>
    <m/>
    <n v="87887.078799999988"/>
    <n v="-13233.91075000001"/>
    <m/>
    <m/>
    <m/>
    <m/>
    <n v="-17590.224430000006"/>
    <n v="4354.6980600000015"/>
    <n v="31"/>
    <n v="4536.3671125544497"/>
    <n v="0"/>
    <n v="0"/>
    <n v="0"/>
    <n v="0"/>
    <n v="0"/>
    <n v="0"/>
    <n v="0"/>
    <n v="595.60817425774076"/>
    <n v="0"/>
    <n v="0"/>
    <n v="4354.6155609272973"/>
    <n v="0"/>
    <n v="0"/>
    <n v="0"/>
    <n v="44.461764564359441"/>
    <n v="0"/>
    <n v="-397.93414031764769"/>
    <m/>
    <n v="0"/>
    <n v="0"/>
    <n v="0"/>
    <n v="0"/>
    <n v="-48.086293611381279"/>
    <n v="-12.29795326592378"/>
    <n v="0"/>
    <n v="0"/>
    <m/>
    <m/>
    <m/>
    <n v="40504.538564205504"/>
    <n v="0"/>
    <n v="0"/>
    <n v="-17590.224430000009"/>
    <n v="4354.6980600000024"/>
    <n v="0"/>
    <n v="0"/>
    <n v="-17772.269805337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3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305.8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24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3.056"/>
    <n v="3.056"/>
    <n v="3.056"/>
    <n v="3.056"/>
    <m/>
    <n v="415.98"/>
    <n v="215.17"/>
    <m/>
    <n v="1928.7944"/>
    <n v="1928.7944"/>
    <n v="1676.33824"/>
    <n v="0"/>
    <n v="186.6806437758361"/>
    <n v="0"/>
    <n v="0"/>
    <n v="0"/>
    <n v="272.9484045499853"/>
    <n v="772.58886293097498"/>
    <n v="644.08848125872407"/>
    <n v="13.467713873289131"/>
    <n v="0"/>
    <n v="0"/>
    <n v="0"/>
    <n v="0"/>
    <n v="28.846948068184819"/>
    <m/>
    <n v="3.5981266953362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763119640904657"/>
    <n v="0"/>
    <n v="0"/>
    <n v="0"/>
    <n v="392.71"/>
    <n v="8"/>
    <m/>
    <m/>
    <m/>
    <m/>
    <m/>
    <m/>
    <m/>
    <m/>
    <m/>
    <n v="650.66479322281452"/>
    <m/>
    <m/>
    <m/>
    <m/>
    <m/>
    <m/>
    <m/>
    <m/>
    <m/>
    <m/>
    <m/>
    <m/>
    <n v="1678.5324000000001"/>
    <n v="-250.29199999999992"/>
    <m/>
    <m/>
    <m/>
    <m/>
    <n v="-335.51824000000005"/>
    <n v="83.062080000000023"/>
    <n v="31"/>
    <n v="86.527259254425871"/>
    <n v="0"/>
    <n v="0"/>
    <n v="0"/>
    <n v="0"/>
    <n v="0"/>
    <n v="0"/>
    <n v="0"/>
    <n v="11.3607081678702"/>
    <n v="0"/>
    <n v="0"/>
    <n v="83.060506401903808"/>
    <n v="0"/>
    <n v="0"/>
    <n v="0"/>
    <n v="0.84806950890780897"/>
    <n v="0"/>
    <n v="-7.5902478064795389"/>
    <m/>
    <n v="0"/>
    <n v="0"/>
    <n v="0"/>
    <n v="0"/>
    <n v="-0.91720424971370562"/>
    <n v="-0.23457276806245941"/>
    <n v="0"/>
    <n v="0"/>
    <m/>
    <m/>
    <m/>
    <n v="772.58886293097498"/>
    <n v="0"/>
    <n v="0"/>
    <n v="-335.51823999999999"/>
    <n v="83.062079999999924"/>
    <n v="0"/>
    <n v="0"/>
    <n v="-338.99059728438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5"/>
    <s v="PROJETADO"/>
    <s v="Verde"/>
    <s v="A4"/>
    <s v="Comercial"/>
    <s v="Não se aplica"/>
    <s v="Não se aplica"/>
    <s v="Não se aplica"/>
    <s v="Ponta"/>
    <s v="CATIVO"/>
    <x v="11"/>
    <n v="0"/>
    <n v="0"/>
    <n v="2.4049999999999998"/>
    <n v="2.4049999999999998"/>
    <n v="2.4049999999999998"/>
    <n v="2.4049999999999998"/>
    <m/>
    <n v="2184.0300000000002"/>
    <n v="215.17"/>
    <m/>
    <n v="5770.076"/>
    <n v="5770.076"/>
    <n v="4353.9879499999997"/>
    <n v="0"/>
    <n v="127.81454352237242"/>
    <n v="0"/>
    <n v="0"/>
    <n v="0"/>
    <n v="1584.8812100983064"/>
    <n v="3513.5320229734339"/>
    <n v="506.8824598911097"/>
    <n v="10.598773516119227"/>
    <n v="0"/>
    <n v="0"/>
    <n v="0"/>
    <n v="0"/>
    <n v="22.701868489523719"/>
    <m/>
    <n v="1.65914371391873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981968456777361"/>
    <n v="0"/>
    <n v="0"/>
    <n v="0"/>
    <n v="0"/>
    <n v="0"/>
    <m/>
    <m/>
    <m/>
    <m/>
    <m/>
    <m/>
    <m/>
    <m/>
    <m/>
    <n v="508.88065673678744"/>
    <m/>
    <m/>
    <m/>
    <m/>
    <m/>
    <m/>
    <m/>
    <m/>
    <m/>
    <m/>
    <m/>
    <m/>
    <n v="4363.0398999999998"/>
    <n v="-1407.0661000000009"/>
    <m/>
    <m/>
    <m/>
    <m/>
    <n v="-1481.4559500000005"/>
    <n v="65.367900000000006"/>
    <n v="31"/>
    <n v="125.56376576410685"/>
    <n v="0"/>
    <n v="0"/>
    <n v="0"/>
    <n v="0"/>
    <n v="0"/>
    <n v="0"/>
    <n v="0"/>
    <n v="65.966214158142748"/>
    <n v="0"/>
    <n v="0"/>
    <n v="65.366661615372493"/>
    <n v="0"/>
    <n v="0"/>
    <n v="0"/>
    <n v="0.25768391567619919"/>
    <n v="0"/>
    <n v="-5.196811190407999"/>
    <m/>
    <n v="0"/>
    <n v="0"/>
    <n v="0"/>
    <n v="0"/>
    <n v="-0.72181813500047909"/>
    <n v="-0.10816459967677594"/>
    <n v="0"/>
    <n v="0"/>
    <m/>
    <m/>
    <m/>
    <n v="3513.5320229734339"/>
    <n v="0"/>
    <n v="0"/>
    <n v="-1481.4559500000009"/>
    <n v="65.367899999999963"/>
    <n v="0"/>
    <n v="0"/>
    <n v="-1541.640549317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6"/>
    <s v="PROJETADO"/>
    <s v="Verde"/>
    <s v="A4"/>
    <s v="Comercial"/>
    <s v="Não se aplica"/>
    <s v="Não se aplica"/>
    <s v="Não se aplica"/>
    <s v="Fora ponta"/>
    <s v="CATIVO"/>
    <x v="11"/>
    <n v="0"/>
    <n v="0"/>
    <n v="26.928999999999998"/>
    <n v="26.928999999999998"/>
    <n v="26.928999999999998"/>
    <n v="26.928999999999998"/>
    <m/>
    <n v="64.11"/>
    <n v="215.17"/>
    <m/>
    <n v="7520.7311199999986"/>
    <n v="7520.7311199999986"/>
    <n v="8188.0317399999994"/>
    <n v="0"/>
    <n v="1431.1508700681775"/>
    <n v="0"/>
    <n v="0"/>
    <n v="0"/>
    <n v="0"/>
    <n v="0"/>
    <n v="5675.6082172173365"/>
    <n v="118.67541455949051"/>
    <n v="0"/>
    <n v="0"/>
    <n v="0"/>
    <n v="0"/>
    <n v="254.19485095816393"/>
    <m/>
    <n v="18.577580487367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373988714035658"/>
    <n v="0"/>
    <n v="0"/>
    <n v="0"/>
    <n v="0"/>
    <n v="0"/>
    <m/>
    <m/>
    <m/>
    <m/>
    <m/>
    <m/>
    <m/>
    <m/>
    <m/>
    <n v="5697.9822059313719"/>
    <m/>
    <m/>
    <m/>
    <m/>
    <m/>
    <m/>
    <m/>
    <m/>
    <m/>
    <m/>
    <m/>
    <m/>
    <n v="8188.3357999999998"/>
    <n v="667.57468000000063"/>
    <m/>
    <m/>
    <m/>
    <m/>
    <n v="-64.629599999999954"/>
    <n v="731.93022000000019"/>
    <n v="31"/>
    <n v="667.31911317962113"/>
    <n v="0"/>
    <n v="0"/>
    <n v="0"/>
    <n v="0"/>
    <n v="0"/>
    <n v="0"/>
    <n v="0"/>
    <n v="0"/>
    <n v="0"/>
    <n v="0"/>
    <n v="731.91635369661799"/>
    <n v="0"/>
    <n v="0"/>
    <n v="0"/>
    <n v="2.8853098400184507"/>
    <n v="0"/>
    <n v="-58.189159478792817"/>
    <m/>
    <n v="0"/>
    <n v="0"/>
    <n v="0"/>
    <n v="0"/>
    <n v="-8.0822621860407082"/>
    <n v="-1.2111286921812479"/>
    <n v="0"/>
    <n v="0"/>
    <m/>
    <m/>
    <m/>
    <n v="0"/>
    <n v="0"/>
    <n v="0"/>
    <n v="-64.629599999999982"/>
    <n v="731.930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7"/>
    <s v="PROJETADO"/>
    <s v="Verde"/>
    <s v="A4"/>
    <s v="Comercial"/>
    <s v="Não se aplica"/>
    <s v="Não se aplica"/>
    <s v="Não se aplica"/>
    <s v="Não se aplica"/>
    <s v="CATIVO"/>
    <x v="11"/>
    <n v="85"/>
    <n v="85"/>
    <n v="0"/>
    <n v="0"/>
    <n v="0"/>
    <n v="0"/>
    <n v="28.04"/>
    <m/>
    <m/>
    <n v="2383.4"/>
    <m/>
    <n v="2383.4"/>
    <n v="1790.1"/>
    <n v="0"/>
    <n v="0"/>
    <n v="0"/>
    <n v="0"/>
    <n v="0"/>
    <n v="941.00757853286541"/>
    <n v="1442.8154915243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554.12"/>
    <n v="1"/>
    <m/>
    <m/>
    <m/>
    <m/>
    <m/>
    <m/>
    <m/>
    <m/>
    <m/>
    <n v="0"/>
    <m/>
    <m/>
    <m/>
    <m/>
    <m/>
    <m/>
    <m/>
    <m/>
    <m/>
    <m/>
    <m/>
    <m/>
    <n v="1790.1"/>
    <n v="-593.33000000000084"/>
    <m/>
    <m/>
    <m/>
    <m/>
    <n v="-593.30000000000007"/>
    <n v="0"/>
    <n v="31"/>
    <n v="39.166788687006488"/>
    <n v="0"/>
    <n v="0"/>
    <n v="0"/>
    <n v="0"/>
    <m/>
    <m/>
    <m/>
    <n v="39.1667886870064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2.815491524344"/>
    <m/>
    <n v="0"/>
    <n v="0"/>
    <n v="-593.30000000000018"/>
    <m/>
    <n v="0"/>
    <m/>
    <n v="-633.06748092057182"/>
    <m/>
    <n v="0"/>
    <n v="0"/>
    <m/>
    <n v="0"/>
    <n v="0"/>
    <n v="0"/>
    <n v="0"/>
    <n v="0"/>
    <m/>
    <m/>
    <n v="0"/>
    <n v="0"/>
    <m/>
    <n v="0"/>
    <m/>
    <n v="0"/>
    <m/>
    <n v="216"/>
    <m/>
    <m/>
    <m/>
    <m/>
    <n v="0"/>
    <m/>
    <m/>
    <m/>
    <m/>
    <n v="0"/>
    <n v="0"/>
    <n v="0"/>
    <n v="0"/>
  </r>
  <r>
    <n v="428"/>
    <s v="PROJETADO"/>
    <s v="Branca"/>
    <s v="B3"/>
    <s v="Comercial"/>
    <s v="Não se aplica"/>
    <s v="Não se aplica"/>
    <s v="Não se aplica"/>
    <s v="Ponta"/>
    <s v="CATIVO"/>
    <x v="11"/>
    <n v="0"/>
    <n v="0"/>
    <n v="7.8E-2"/>
    <n v="7.8E-2"/>
    <n v="7.8E-2"/>
    <n v="7.8E-2"/>
    <m/>
    <n v="1254.27"/>
    <n v="215.17"/>
    <m/>
    <n v="114.61632"/>
    <n v="114.61632"/>
    <n v="87.68526"/>
    <n v="0"/>
    <n v="4.7647546513466015"/>
    <n v="0"/>
    <n v="0"/>
    <n v="0"/>
    <n v="24.040832272259244"/>
    <n v="68.031283348527481"/>
    <n v="16.439431131603559"/>
    <n v="0.34374400592819121"/>
    <n v="0"/>
    <n v="0"/>
    <n v="0"/>
    <n v="0"/>
    <n v="0.736276815876445"/>
    <m/>
    <n v="9.183700334955198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785089437141895"/>
    <n v="0"/>
    <n v="0"/>
    <n v="0"/>
    <n v="0"/>
    <n v="0"/>
    <m/>
    <m/>
    <m/>
    <m/>
    <m/>
    <m/>
    <m/>
    <m/>
    <m/>
    <n v="16.607282025974978"/>
    <m/>
    <m/>
    <m/>
    <m/>
    <m/>
    <m/>
    <m/>
    <m/>
    <m/>
    <m/>
    <m/>
    <m/>
    <n v="89.933600000000013"/>
    <n v="-24.712720000000004"/>
    <m/>
    <m/>
    <m/>
    <m/>
    <n v="-29.051099999999995"/>
    <n v="2.1200400000000004"/>
    <n v="31"/>
    <n v="2.9191498884028277"/>
    <n v="0"/>
    <n v="0"/>
    <n v="0"/>
    <n v="0"/>
    <n v="0"/>
    <n v="0"/>
    <n v="0"/>
    <n v="1.0006318960103719"/>
    <n v="0"/>
    <n v="0"/>
    <n v="2.1199998361742445"/>
    <n v="0"/>
    <n v="0"/>
    <n v="0"/>
    <n v="2.1645753172385179E-2"/>
    <n v="0"/>
    <n v="-0.19373014689312917"/>
    <m/>
    <n v="0"/>
    <n v="0"/>
    <n v="0"/>
    <n v="0"/>
    <n v="-2.3410317891907395E-2"/>
    <n v="-5.9871321691334495E-3"/>
    <n v="0"/>
    <n v="0"/>
    <m/>
    <m/>
    <m/>
    <n v="68.031283348527481"/>
    <n v="0"/>
    <n v="0"/>
    <n v="-29.051100000000005"/>
    <n v="2.1200399999999995"/>
    <n v="0"/>
    <n v="0"/>
    <n v="-29.85024310193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29"/>
    <s v="PROJETADO"/>
    <s v="Branca"/>
    <s v="B3"/>
    <s v="Comercial"/>
    <s v="Não se aplica"/>
    <s v="Não se aplica"/>
    <s v="Não se aplica"/>
    <s v="Fora ponta"/>
    <s v="CATIVO"/>
    <x v="11"/>
    <n v="0"/>
    <n v="0"/>
    <n v="0.74099999999999999"/>
    <n v="0.74099999999999999"/>
    <n v="0.74099999999999999"/>
    <n v="0.74099999999999999"/>
    <m/>
    <n v="309.91000000000003"/>
    <n v="215.17"/>
    <m/>
    <n v="389.08428000000004"/>
    <n v="389.08428000000004"/>
    <n v="352.49369999999999"/>
    <n v="0"/>
    <n v="45.265169187792715"/>
    <n v="0"/>
    <n v="0"/>
    <n v="0"/>
    <n v="45.657952770039124"/>
    <n v="129.25956090599576"/>
    <n v="156.17459575023381"/>
    <n v="3.2655680563178162"/>
    <n v="0"/>
    <n v="0"/>
    <n v="0"/>
    <n v="0"/>
    <n v="6.9946297508262276"/>
    <m/>
    <n v="0.87245153182074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9458349652848"/>
    <n v="0"/>
    <n v="0"/>
    <n v="0"/>
    <n v="0"/>
    <n v="0"/>
    <m/>
    <m/>
    <m/>
    <m/>
    <m/>
    <m/>
    <m/>
    <m/>
    <m/>
    <n v="157.76917924676229"/>
    <m/>
    <m/>
    <m/>
    <m/>
    <m/>
    <m/>
    <m/>
    <m/>
    <m/>
    <m/>
    <m/>
    <m/>
    <n v="352.01800000000003"/>
    <n v="-37.096279999999979"/>
    <m/>
    <m/>
    <m/>
    <m/>
    <n v="-56.730960000000024"/>
    <n v="20.140380000000004"/>
    <n v="31"/>
    <n v="20.126304547182087"/>
    <n v="0"/>
    <n v="0"/>
    <n v="0"/>
    <n v="0"/>
    <n v="0"/>
    <n v="0"/>
    <n v="0"/>
    <n v="1.9003836194537129"/>
    <n v="0"/>
    <n v="0"/>
    <n v="20.139998443655344"/>
    <n v="0"/>
    <n v="0"/>
    <n v="0"/>
    <n v="0.20563465513765933"/>
    <n v="0"/>
    <n v="-1.8404363954847298"/>
    <m/>
    <n v="0"/>
    <n v="0"/>
    <n v="0"/>
    <n v="0"/>
    <n v="-0.22239801997312103"/>
    <n v="-5.6877755606767777E-2"/>
    <n v="0"/>
    <n v="0"/>
    <m/>
    <m/>
    <m/>
    <n v="129.25956090599576"/>
    <n v="0"/>
    <n v="0"/>
    <n v="-56.73096000000001"/>
    <n v="20.140379999999993"/>
    <n v="0"/>
    <n v="0"/>
    <n v="-56.71551566250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8.6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31"/>
    <s v="PROJETADO"/>
    <s v="Branca"/>
    <s v="B3"/>
    <s v="Comercial"/>
    <s v="Não se aplica"/>
    <s v="Não se aplica"/>
    <s v="Não se aplica"/>
    <s v="Intermediário"/>
    <s v="CATIVO"/>
    <x v="11"/>
    <n v="0"/>
    <n v="0"/>
    <n v="5.1999999999999998E-2"/>
    <n v="5.1999999999999998E-2"/>
    <n v="5.1999999999999998E-2"/>
    <n v="5.1999999999999998E-2"/>
    <m/>
    <n v="782.07"/>
    <n v="215.17"/>
    <m/>
    <n v="51.856479999999998"/>
    <n v="51.856479999999998"/>
    <n v="41.595320000000001"/>
    <n v="0"/>
    <n v="3.1765031008977345"/>
    <n v="0"/>
    <n v="0"/>
    <n v="0"/>
    <n v="9.6144963196870119"/>
    <n v="27.212509039628795"/>
    <n v="10.959620754402373"/>
    <n v="0.22916267061879411"/>
    <n v="0"/>
    <n v="0"/>
    <n v="0"/>
    <n v="0"/>
    <n v="0.49085121058429665"/>
    <m/>
    <n v="6.12246688997013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1190059624761263"/>
    <n v="0"/>
    <n v="0"/>
    <n v="0"/>
    <n v="0"/>
    <n v="0"/>
    <m/>
    <m/>
    <m/>
    <m/>
    <m/>
    <m/>
    <m/>
    <m/>
    <m/>
    <n v="11.071521350649986"/>
    <m/>
    <m/>
    <m/>
    <m/>
    <m/>
    <m/>
    <m/>
    <m/>
    <m/>
    <m/>
    <m/>
    <m/>
    <n v="39.9955"/>
    <n v="-11.890979999999992"/>
    <m/>
    <m/>
    <m/>
    <m/>
    <n v="-11.674520000000005"/>
    <n v="1.4133600000000004"/>
    <n v="31"/>
    <n v="1.6791883104818162"/>
    <n v="0"/>
    <n v="0"/>
    <n v="0"/>
    <n v="0"/>
    <n v="0"/>
    <n v="0"/>
    <n v="0"/>
    <n v="0.40017631555350874"/>
    <n v="0"/>
    <n v="0"/>
    <n v="1.4133332241161636"/>
    <n v="0"/>
    <n v="0"/>
    <n v="0"/>
    <n v="1.4430502114923457E-2"/>
    <n v="0"/>
    <n v="-0.12915343126208656"/>
    <m/>
    <n v="0"/>
    <n v="0"/>
    <n v="0"/>
    <n v="0"/>
    <n v="-1.5606878594604967E-2"/>
    <n v="-3.9914214460889663E-3"/>
    <n v="0"/>
    <n v="0"/>
    <m/>
    <m/>
    <m/>
    <n v="27.212509039628795"/>
    <n v="0"/>
    <n v="0"/>
    <n v="-11.674520000000001"/>
    <n v="1.4133600000000008"/>
    <n v="0"/>
    <n v="0"/>
    <n v="-11.94009535415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2"/>
    <s v="PROJETADO"/>
    <s v="Convencional"/>
    <s v="B2"/>
    <s v="Rural"/>
    <s v="Não se aplica"/>
    <s v="Não se aplica"/>
    <s v="Não se aplica"/>
    <s v="Não se aplica"/>
    <s v="CATIVO"/>
    <x v="11"/>
    <n v="0"/>
    <n v="0"/>
    <n v="348.16500000000002"/>
    <n v="348.16500000000002"/>
    <n v="348.16500000000002"/>
    <n v="348.16500000000002"/>
    <m/>
    <n v="415.98"/>
    <n v="215.17"/>
    <m/>
    <n v="219744.33975000001"/>
    <n v="219744.33975000001"/>
    <n v="190982.42910000001"/>
    <n v="0"/>
    <n v="21268.215425462688"/>
    <n v="0"/>
    <n v="0"/>
    <n v="0"/>
    <n v="31096.558007246607"/>
    <n v="88019.764876427653"/>
    <n v="73379.929999163505"/>
    <n v="1534.3542541537013"/>
    <n v="0"/>
    <n v="0"/>
    <n v="0"/>
    <n v="0"/>
    <n v="3286.484841020801"/>
    <m/>
    <n v="409.92859322047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9.22829024134717"/>
    <n v="0"/>
    <n v="0"/>
    <n v="0"/>
    <n v="28571.08"/>
    <n v="1534"/>
    <m/>
    <m/>
    <m/>
    <m/>
    <m/>
    <n v="22916.220300000001"/>
    <m/>
    <m/>
    <m/>
    <n v="74129.158289404848"/>
    <m/>
    <m/>
    <m/>
    <m/>
    <m/>
    <m/>
    <m/>
    <m/>
    <m/>
    <m/>
    <m/>
    <m/>
    <n v="168068.62239999999"/>
    <n v="-25305.730250000022"/>
    <m/>
    <m/>
    <m/>
    <m/>
    <n v="-38225.035350000013"/>
    <n v="9463.1247000000021"/>
    <n v="31"/>
    <n v="9857.9068122766039"/>
    <n v="0"/>
    <n v="0"/>
    <n v="0"/>
    <n v="0"/>
    <n v="0"/>
    <n v="0"/>
    <n v="0"/>
    <n v="1294.3065966186259"/>
    <n v="0"/>
    <n v="0"/>
    <n v="9462.9454225847003"/>
    <n v="0"/>
    <n v="0"/>
    <n v="0"/>
    <n v="96.619149400813967"/>
    <n v="0"/>
    <n v="-864.74431529546564"/>
    <m/>
    <n v="0"/>
    <n v="0"/>
    <n v="0"/>
    <n v="0"/>
    <n v="-104.49555549789693"/>
    <n v="-26.724485534183941"/>
    <n v="0"/>
    <n v="0"/>
    <m/>
    <m/>
    <m/>
    <n v="88019.764876427653"/>
    <n v="0"/>
    <n v="0"/>
    <n v="-38225.035350000006"/>
    <n v="9463.1247000000003"/>
    <n v="0"/>
    <n v="0"/>
    <n v="-38620.635243297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3"/>
    <s v="PROJETADO"/>
    <s v="Convencional"/>
    <s v="B2"/>
    <s v="Rural"/>
    <s v="Não se aplica"/>
    <s v="Não se aplica"/>
    <s v="Não se aplica"/>
    <s v="Não se aplica"/>
    <s v="CATIVO"/>
    <x v="11"/>
    <n v="0"/>
    <n v="0"/>
    <n v="-3.19"/>
    <n v="-3.19"/>
    <n v="-3.19"/>
    <n v="-3.19"/>
    <m/>
    <n v="415.98"/>
    <n v="215.17"/>
    <m/>
    <n v="-2013.3685"/>
    <n v="-2013.3685"/>
    <n v="-1749.8425999999999"/>
    <n v="0"/>
    <n v="-194.86624792045717"/>
    <n v="0"/>
    <n v="0"/>
    <n v="0"/>
    <n v="-284.91669192226868"/>
    <n v="-806.46546883174415"/>
    <n v="-672.33058089506858"/>
    <n v="-14.058248447576023"/>
    <n v="0"/>
    <n v="0"/>
    <n v="0"/>
    <n v="0"/>
    <n v="-30.111833880075121"/>
    <m/>
    <n v="-3.75589795750090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8646711928823905"/>
    <n v="0"/>
    <n v="0"/>
    <n v="0"/>
    <n v="-583.28"/>
    <n v="0"/>
    <m/>
    <m/>
    <m/>
    <m/>
    <m/>
    <n v="-209.96579999999997"/>
    <m/>
    <m/>
    <m/>
    <n v="-679.19525208795096"/>
    <m/>
    <m/>
    <m/>
    <m/>
    <m/>
    <m/>
    <m/>
    <m/>
    <m/>
    <m/>
    <m/>
    <m/>
    <n v="-1539.8768"/>
    <n v="231.85109999999986"/>
    <m/>
    <m/>
    <m/>
    <m/>
    <n v="350.23010000000005"/>
    <n v="-86.704200000000014"/>
    <n v="31"/>
    <n v="-90.321321014927207"/>
    <n v="0"/>
    <n v="0"/>
    <n v="0"/>
    <n v="0"/>
    <n v="0"/>
    <n v="0"/>
    <n v="0"/>
    <n v="-11.858854402979659"/>
    <n v="0"/>
    <n v="0"/>
    <n v="-86.70255740251082"/>
    <n v="0"/>
    <n v="0"/>
    <n v="0"/>
    <n v="-0.88525580281934246"/>
    <n v="0"/>
    <n v="7.9230662639625962"/>
    <m/>
    <n v="0"/>
    <n v="0"/>
    <n v="0"/>
    <n v="0"/>
    <n v="0.95742197532288031"/>
    <n v="0.24485835409661183"/>
    <n v="0"/>
    <n v="0"/>
    <m/>
    <m/>
    <m/>
    <n v="-806.46546883174415"/>
    <n v="0"/>
    <n v="0"/>
    <n v="350.23010000000011"/>
    <n v="-86.704200000000014"/>
    <n v="0"/>
    <n v="0"/>
    <n v="353.8547137883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4"/>
    <s v="PROJETADO"/>
    <s v="Convencional"/>
    <s v="B2"/>
    <s v="Rural"/>
    <s v="Não se aplica"/>
    <s v="Não se aplica"/>
    <s v="Não se aplica"/>
    <s v="Não se aplica"/>
    <s v="CATIVO"/>
    <x v="11"/>
    <n v="0"/>
    <n v="0"/>
    <n v="9.1839999999999993"/>
    <n v="9.1839999999999993"/>
    <n v="9.1839999999999993"/>
    <n v="9.1839999999999993"/>
    <m/>
    <n v="415.98"/>
    <n v="215.17"/>
    <m/>
    <n v="5796.4815999999992"/>
    <n v="5796.4815999999992"/>
    <n v="5037.7913599999993"/>
    <n v="0"/>
    <n v="561.01931689701519"/>
    <n v="0"/>
    <n v="0"/>
    <n v="0"/>
    <n v="820.27426288843742"/>
    <n v="2321.811556661673"/>
    <n v="1935.6376347775265"/>
    <n v="40.473653210827024"/>
    <n v="0"/>
    <n v="0"/>
    <n v="0"/>
    <n v="0"/>
    <n v="86.691875346272695"/>
    <m/>
    <n v="10.813218445670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763366844962967"/>
    <n v="0"/>
    <n v="0"/>
    <n v="0"/>
    <n v="1728.38"/>
    <n v="25"/>
    <m/>
    <m/>
    <m/>
    <m/>
    <m/>
    <n v="604.49087999999983"/>
    <m/>
    <m/>
    <m/>
    <n v="1955.4010016224895"/>
    <m/>
    <m/>
    <m/>
    <m/>
    <m/>
    <m/>
    <m/>
    <m/>
    <m/>
    <m/>
    <m/>
    <m/>
    <n v="4431.3696"/>
    <n v="-669.54584000000068"/>
    <m/>
    <m/>
    <m/>
    <m/>
    <n v="-1008.3113600000001"/>
    <n v="249.62112000000005"/>
    <n v="31"/>
    <n v="260.03480006303926"/>
    <n v="0"/>
    <n v="0"/>
    <n v="0"/>
    <n v="0"/>
    <n v="0"/>
    <n v="0"/>
    <n v="0"/>
    <n v="34.141604651086254"/>
    <n v="0"/>
    <n v="0"/>
    <n v="249.61639096697786"/>
    <n v="0"/>
    <n v="0"/>
    <n v="0"/>
    <n v="2.5486486812203282"/>
    <n v="0"/>
    <n v="-22.810482936749963"/>
    <m/>
    <n v="0"/>
    <n v="0"/>
    <n v="0"/>
    <n v="0"/>
    <n v="-2.7564148656317684"/>
    <n v="-0.70494643386309797"/>
    <n v="0"/>
    <n v="0"/>
    <m/>
    <m/>
    <m/>
    <n v="2321.811556661673"/>
    <n v="0"/>
    <n v="0"/>
    <n v="-1008.3113600000001"/>
    <n v="249.62111999999979"/>
    <n v="0"/>
    <n v="0"/>
    <n v="-1018.7466117342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5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6.992999999999999"/>
    <n v="26.992999999999999"/>
    <n v="26.992999999999999"/>
    <n v="26.992999999999999"/>
    <m/>
    <n v="415.98"/>
    <n v="215.17"/>
    <m/>
    <n v="17036.631949999999"/>
    <n v="17036.631949999999"/>
    <n v="14806.74022"/>
    <n v="0"/>
    <n v="1648.9105423563951"/>
    <n v="0"/>
    <n v="0"/>
    <n v="0"/>
    <n v="2410.8953808958613"/>
    <n v="6824.1136050706164"/>
    <n v="5689.096981222754"/>
    <n v="118.95746092332902"/>
    <n v="0"/>
    <n v="0"/>
    <n v="0"/>
    <n v="0"/>
    <n v="254.79897552503689"/>
    <m/>
    <n v="31.78149014633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087169125227071"/>
    <n v="0"/>
    <n v="0"/>
    <n v="0"/>
    <n v="2500.96"/>
    <n v="51"/>
    <m/>
    <m/>
    <m/>
    <m/>
    <m/>
    <m/>
    <m/>
    <m/>
    <m/>
    <n v="5747.1841503479809"/>
    <m/>
    <m/>
    <m/>
    <m/>
    <m/>
    <m/>
    <m/>
    <m/>
    <m/>
    <m/>
    <m/>
    <m/>
    <n v="14805.094599999997"/>
    <n v="-2231.5673500000012"/>
    <m/>
    <m/>
    <m/>
    <m/>
    <n v="-2963.5614700000006"/>
    <n v="733.66974000000016"/>
    <n v="31"/>
    <n v="764.27693359120349"/>
    <n v="0"/>
    <n v="0"/>
    <n v="0"/>
    <n v="0"/>
    <n v="0"/>
    <n v="0"/>
    <n v="0"/>
    <n v="100.34672630082468"/>
    <n v="0"/>
    <n v="0"/>
    <n v="733.6558407416851"/>
    <n v="0"/>
    <n v="0"/>
    <n v="0"/>
    <n v="7.4908181459255516"/>
    <n v="0"/>
    <n v="-67.043049424182755"/>
    <m/>
    <n v="0"/>
    <n v="0"/>
    <n v="0"/>
    <n v="0"/>
    <n v="-8.101470652003286"/>
    <n v="-2.0719315210438332"/>
    <n v="0"/>
    <n v="0"/>
    <m/>
    <m/>
    <m/>
    <n v="6824.1136050706164"/>
    <n v="0"/>
    <n v="0"/>
    <n v="-2963.5614700000006"/>
    <n v="733.66974000000027"/>
    <n v="0"/>
    <n v="0"/>
    <n v="-2994.2320656077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6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117.774"/>
    <n v="117.774"/>
    <n v="117.774"/>
    <n v="117.774"/>
    <m/>
    <n v="228.79"/>
    <n v="118.34"/>
    <m/>
    <n v="40882.888619999998"/>
    <n v="40882.888619999998"/>
    <n v="35531.238059999996"/>
    <n v="0"/>
    <n v="3956.9271521696351"/>
    <n v="0"/>
    <n v="0"/>
    <n v="0"/>
    <n v="5785.4790473195362"/>
    <n v="16375.976573481035"/>
    <n v="13652.252040402662"/>
    <n v="285.4648539077279"/>
    <n v="0"/>
    <n v="0"/>
    <n v="0"/>
    <n v="0"/>
    <n v="611.44674541240863"/>
    <m/>
    <n v="76.2667458701230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39306639147009"/>
    <n v="0"/>
    <n v="0"/>
    <n v="0"/>
    <n v="7277.49"/>
    <n v="87"/>
    <m/>
    <m/>
    <m/>
    <m/>
    <m/>
    <m/>
    <m/>
    <m/>
    <m/>
    <n v="13791.645106794133"/>
    <m/>
    <m/>
    <m/>
    <m/>
    <m/>
    <m/>
    <m/>
    <m/>
    <m/>
    <m/>
    <m/>
    <m/>
    <n v="35530.031300000002"/>
    <n v="-5352.8873199999944"/>
    <m/>
    <m/>
    <m/>
    <m/>
    <n v="-7112.3718599999984"/>
    <n v="1760.7212999999986"/>
    <n v="31"/>
    <n v="1834.0522864159575"/>
    <n v="0"/>
    <n v="0"/>
    <n v="0"/>
    <n v="0"/>
    <n v="0"/>
    <n v="0"/>
    <n v="0"/>
    <n v="240.80426180284303"/>
    <n v="0"/>
    <n v="0"/>
    <n v="1760.5701716420244"/>
    <n v="0"/>
    <n v="0"/>
    <n v="0"/>
    <n v="17.975882227801975"/>
    <n v="0"/>
    <n v="-160.88469071929194"/>
    <m/>
    <n v="0"/>
    <n v="0"/>
    <n v="0"/>
    <n v="0"/>
    <n v="-19.441278572703709"/>
    <n v="-4.9720599647199464"/>
    <n v="0"/>
    <n v="0"/>
    <m/>
    <m/>
    <m/>
    <n v="16375.976573481035"/>
    <n v="0"/>
    <n v="0"/>
    <n v="-7112.3718599999993"/>
    <n v="1760.7212999999974"/>
    <n v="0"/>
    <n v="0"/>
    <n v="-7185.3250106394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7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9.311"/>
    <n v="18.152339999999999"/>
    <n v="19.311"/>
    <n v="18.152339999999999"/>
    <m/>
    <n v="415.98"/>
    <n v="215.17"/>
    <m/>
    <n v="12188.137650000001"/>
    <n v="12188.137650000001"/>
    <n v="10592.855939999999"/>
    <n v="0"/>
    <n v="1179.6432957968491"/>
    <n v="0"/>
    <n v="0"/>
    <n v="0"/>
    <n v="1724.7731152698841"/>
    <n v="4882.023407087715"/>
    <n v="4070.0237766973887"/>
    <n v="85.103083313837175"/>
    <n v="0"/>
    <n v="0"/>
    <n v="0"/>
    <n v="0"/>
    <n v="182.28514860756448"/>
    <m/>
    <n v="22.736722713887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556007964185532"/>
    <n v="0"/>
    <n v="0"/>
    <n v="0"/>
    <n v="2169.62"/>
    <n v="4"/>
    <m/>
    <m/>
    <m/>
    <m/>
    <n v="635.57135640000058"/>
    <m/>
    <m/>
    <m/>
    <m/>
    <n v="4111.5797846615742"/>
    <m/>
    <m/>
    <m/>
    <m/>
    <m/>
    <m/>
    <m/>
    <m/>
    <m/>
    <m/>
    <m/>
    <m/>
    <n v="9956.0009999999984"/>
    <n v="-1500.878391000002"/>
    <m/>
    <m/>
    <m/>
    <m/>
    <n v="-2120.1546900000003"/>
    <n v="524.8729800000001"/>
    <n v="31"/>
    <n v="546.76960191826765"/>
    <n v="0"/>
    <n v="0"/>
    <n v="0"/>
    <n v="0"/>
    <n v="0"/>
    <n v="0"/>
    <n v="0"/>
    <n v="71.788820494025231"/>
    <n v="0"/>
    <n v="0"/>
    <n v="524.86303636360117"/>
    <n v="0"/>
    <n v="0"/>
    <n v="0"/>
    <n v="5.35898896810167"/>
    <n v="0"/>
    <n v="-47.963113675041313"/>
    <m/>
    <n v="0"/>
    <n v="0"/>
    <n v="0"/>
    <n v="0"/>
    <n v="-5.7958544719310794"/>
    <n v="-1.4822757604889247"/>
    <n v="0"/>
    <n v="0"/>
    <m/>
    <m/>
    <m/>
    <n v="4882.023407087715"/>
    <n v="0"/>
    <n v="0"/>
    <n v="-2120.1546900000003"/>
    <n v="524.8729800000001"/>
    <n v="0"/>
    <n v="0"/>
    <n v="-2142.0966702090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8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1.8839999999999999"/>
    <n v="1.8839999999999999"/>
    <n v="1.8839999999999999"/>
    <n v="1.8839999999999999"/>
    <m/>
    <n v="415.98"/>
    <n v="215.17"/>
    <m/>
    <n v="1189.0866000000001"/>
    <n v="1189.0866000000001"/>
    <n v="1033.4493599999998"/>
    <n v="0"/>
    <n v="115.08715080944869"/>
    <n v="0"/>
    <n v="0"/>
    <n v="0"/>
    <n v="168.27054783120821"/>
    <n v="476.29496654514287"/>
    <n v="397.0754904095013"/>
    <n v="8.3027398354963093"/>
    <n v="0"/>
    <n v="0"/>
    <n v="0"/>
    <n v="0"/>
    <n v="17.783916937323362"/>
    <m/>
    <n v="2.2182168501353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42446794327347"/>
    <n v="0"/>
    <n v="0"/>
    <n v="0"/>
    <n v="211.67"/>
    <n v="1"/>
    <m/>
    <m/>
    <m/>
    <m/>
    <m/>
    <m/>
    <m/>
    <m/>
    <m/>
    <n v="401.12973508893401"/>
    <m/>
    <m/>
    <m/>
    <m/>
    <m/>
    <m/>
    <m/>
    <m/>
    <m/>
    <m/>
    <m/>
    <m/>
    <n v="1031.2552000000001"/>
    <n v="-157.8614"/>
    <m/>
    <m/>
    <m/>
    <m/>
    <n v="-206.84436000000002"/>
    <n v="51.20712000000001"/>
    <n v="31"/>
    <n v="53.343375796903956"/>
    <n v="0"/>
    <n v="0"/>
    <n v="0"/>
    <n v="0"/>
    <n v="0"/>
    <n v="0"/>
    <n v="0"/>
    <n v="7.003787365270739"/>
    <n v="0"/>
    <n v="0"/>
    <n v="51.20614988913178"/>
    <n v="0"/>
    <n v="0"/>
    <n v="0"/>
    <n v="0.5228281920099187"/>
    <n v="0"/>
    <n v="-4.6793281634186741"/>
    <m/>
    <n v="0"/>
    <n v="0"/>
    <n v="0"/>
    <n v="0"/>
    <n v="-0.56544921677376436"/>
    <n v="-0.14461226931599258"/>
    <n v="0"/>
    <n v="0"/>
    <m/>
    <m/>
    <m/>
    <n v="476.29496654514287"/>
    <n v="0"/>
    <n v="0"/>
    <n v="-206.84436000000005"/>
    <n v="51.207119999999975"/>
    <n v="0"/>
    <n v="0"/>
    <n v="-208.98504099600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39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1.82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40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1.625"/>
    <n v="1.625"/>
    <n v="1.625"/>
    <n v="1.625"/>
    <m/>
    <n v="415.98"/>
    <n v="215.17"/>
    <m/>
    <n v="1025.6187500000001"/>
    <n v="1025.6187500000001"/>
    <n v="891.37749999999994"/>
    <n v="0"/>
    <n v="99.2657219030542"/>
    <n v="0"/>
    <n v="0"/>
    <n v="0"/>
    <n v="145.13781328328733"/>
    <n v="410.8170491697756"/>
    <n v="342.48814857507415"/>
    <n v="7.1613334568373164"/>
    <n v="0"/>
    <n v="0"/>
    <n v="0"/>
    <n v="0"/>
    <n v="15.339100330759271"/>
    <m/>
    <n v="1.9132709031156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96893632737895"/>
    <n v="0"/>
    <n v="0"/>
    <n v="0"/>
    <n v="0"/>
    <n v="0"/>
    <m/>
    <m/>
    <m/>
    <m/>
    <m/>
    <n v="106.95749999999998"/>
    <m/>
    <m/>
    <m/>
    <n v="345.98504220781206"/>
    <m/>
    <m/>
    <m/>
    <m/>
    <m/>
    <m/>
    <m/>
    <m/>
    <m/>
    <m/>
    <m/>
    <m/>
    <n v="786.83359999999993"/>
    <n v="-115.73765000000003"/>
    <m/>
    <m/>
    <m/>
    <m/>
    <n v="-178.40875000000003"/>
    <n v="44.167500000000011"/>
    <n v="31"/>
    <n v="46.01007731951654"/>
    <n v="0"/>
    <n v="0"/>
    <n v="0"/>
    <n v="0"/>
    <n v="0"/>
    <n v="0"/>
    <n v="0"/>
    <n v="6.0409524780068864"/>
    <n v="0"/>
    <n v="0"/>
    <n v="44.166663253630134"/>
    <n v="0"/>
    <n v="0"/>
    <n v="0"/>
    <n v="0.45095319109135756"/>
    <n v="0"/>
    <n v="-4.0360447269401902"/>
    <m/>
    <n v="0"/>
    <n v="0"/>
    <n v="0"/>
    <n v="0"/>
    <n v="-0.48771495608140469"/>
    <n v="-0.12473192019028012"/>
    <n v="0"/>
    <n v="0"/>
    <m/>
    <m/>
    <m/>
    <n v="410.8170491697756"/>
    <n v="0"/>
    <n v="0"/>
    <n v="-178.40875"/>
    <n v="44.167499999999961"/>
    <n v="0"/>
    <n v="0"/>
    <n v="-180.2551441711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41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0.98399999999999999"/>
    <n v="0.39360000000000001"/>
    <n v="0.98399999999999999"/>
    <n v="0.39360000000000001"/>
    <m/>
    <n v="415.98"/>
    <n v="215.17"/>
    <m/>
    <n v="621.05160000000001"/>
    <n v="621.05160000000001"/>
    <n v="539.76335999999992"/>
    <n v="0"/>
    <n v="60.10921252468021"/>
    <n v="0"/>
    <n v="0"/>
    <n v="0"/>
    <n v="87.886528166618305"/>
    <n v="248.76552392803643"/>
    <n v="207.38974658330645"/>
    <n v="4.3364628440171806"/>
    <n v="0"/>
    <n v="0"/>
    <n v="0"/>
    <n v="0"/>
    <n v="9.2884152156720745"/>
    <m/>
    <n v="1.1585591191789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175035905317467"/>
    <n v="0"/>
    <n v="0"/>
    <n v="0"/>
    <n v="0"/>
    <n v="0"/>
    <m/>
    <m/>
    <m/>
    <m/>
    <m/>
    <m/>
    <n v="349.76476799999995"/>
    <m/>
    <m/>
    <n v="209.5072501738382"/>
    <m/>
    <m/>
    <m/>
    <m/>
    <m/>
    <m/>
    <m/>
    <m/>
    <m/>
    <m/>
    <m/>
    <m/>
    <n v="188.26080000000002"/>
    <n v="-30.378575999999953"/>
    <m/>
    <m/>
    <m/>
    <m/>
    <n v="-108.03336000000002"/>
    <n v="26.745120000000007"/>
    <n v="31"/>
    <n v="27.860871435325691"/>
    <n v="0"/>
    <n v="0"/>
    <n v="0"/>
    <n v="0"/>
    <n v="0"/>
    <n v="0"/>
    <n v="0"/>
    <n v="3.6580290697592375"/>
    <n v="0"/>
    <n v="0"/>
    <n v="26.744613317890469"/>
    <n v="0"/>
    <n v="0"/>
    <n v="0"/>
    <n v="0.27306950155932075"/>
    <n v="0"/>
    <n v="-2.4439803146517889"/>
    <m/>
    <n v="0"/>
    <n v="0"/>
    <n v="0"/>
    <n v="0"/>
    <n v="-0.29533016417483182"/>
    <n v="-7.5529975056760401E-2"/>
    <n v="0"/>
    <n v="0"/>
    <m/>
    <m/>
    <m/>
    <n v="248.76552392803643"/>
    <n v="0"/>
    <n v="0"/>
    <n v="-108.03336000000002"/>
    <n v="26.745120000000014"/>
    <n v="0"/>
    <n v="0"/>
    <n v="-109.15142268580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42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.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"/>
    <m/>
    <m/>
    <m/>
    <m/>
    <n v="0"/>
    <m/>
    <m/>
    <m/>
    <m/>
    <n v="0"/>
    <n v="0"/>
    <n v="0"/>
    <n v="0"/>
  </r>
  <r>
    <n v="443"/>
    <s v="PROJETADO"/>
    <s v="Convencional"/>
    <s v="B2"/>
    <s v="Rural"/>
    <s v="Aquicultura"/>
    <s v="IRRIG./AQUIC."/>
    <s v="Não se aplica"/>
    <s v="Não se aplica"/>
    <s v="CATIVO"/>
    <x v="11"/>
    <n v="0"/>
    <n v="0"/>
    <n v="0.16"/>
    <n v="0.16"/>
    <n v="0.16"/>
    <n v="0.16"/>
    <m/>
    <n v="415.98"/>
    <n v="215.17"/>
    <m/>
    <n v="100.98400000000001"/>
    <n v="100.98400000000001"/>
    <n v="87.766400000000004"/>
    <n v="0"/>
    <n v="9.7738556950699529"/>
    <n v="0"/>
    <n v="0"/>
    <n v="0"/>
    <n v="14.290492384815984"/>
    <n v="40.449678687485601"/>
    <n v="33.721910013545759"/>
    <n v="0.70511590959628967"/>
    <n v="0"/>
    <n v="0"/>
    <n v="0"/>
    <n v="0"/>
    <n v="1.5103114171824512"/>
    <m/>
    <n v="0.1883835966144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4430952691573119"/>
    <n v="0"/>
    <n v="0"/>
    <n v="0"/>
    <n v="0"/>
    <n v="0"/>
    <m/>
    <m/>
    <m/>
    <m/>
    <m/>
    <n v="10.531199999999998"/>
    <m/>
    <m/>
    <m/>
    <n v="34.066219540461489"/>
    <m/>
    <m/>
    <m/>
    <m/>
    <m/>
    <m/>
    <m/>
    <m/>
    <m/>
    <m/>
    <m/>
    <m/>
    <n v="77.235200000000006"/>
    <n v="-11.660399999999996"/>
    <m/>
    <m/>
    <m/>
    <m/>
    <n v="-17.566400000000005"/>
    <n v="4.3488000000000016"/>
    <n v="31"/>
    <n v="4.530222997613933"/>
    <n v="0"/>
    <n v="0"/>
    <n v="0"/>
    <n v="0"/>
    <n v="0"/>
    <n v="0"/>
    <n v="0"/>
    <n v="0.5948014747576007"/>
    <n v="0"/>
    <n v="0"/>
    <n v="4.3487176126651192"/>
    <n v="0"/>
    <n v="0"/>
    <n v="0"/>
    <n v="4.4401544968995232E-2"/>
    <n v="0"/>
    <n v="-0.39739517311411277"/>
    <m/>
    <n v="0"/>
    <n v="0"/>
    <n v="0"/>
    <n v="0"/>
    <n v="-4.8021164906476788E-2"/>
    <n v="-1.228129675719683E-2"/>
    <n v="0"/>
    <n v="0"/>
    <m/>
    <m/>
    <m/>
    <n v="40.449678687485601"/>
    <n v="0"/>
    <n v="0"/>
    <n v="-17.566400000000009"/>
    <n v="4.3488000000000042"/>
    <n v="0"/>
    <n v="0"/>
    <n v="-17.748198810700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  <r>
    <n v="444"/>
    <s v="PROJETADO"/>
    <s v="Convencional"/>
    <s v="B2"/>
    <s v="Rural"/>
    <s v="Aquicultura"/>
    <s v="IRRIG./AQUIC. PR"/>
    <s v="Não se aplica"/>
    <s v="Não se aplica"/>
    <s v="CATIVO"/>
    <x v="11"/>
    <n v="0"/>
    <n v="0"/>
    <n v="0.435"/>
    <n v="0.17399999999999999"/>
    <n v="0.435"/>
    <n v="0.17399999999999999"/>
    <m/>
    <n v="415.98"/>
    <n v="215.17"/>
    <m/>
    <n v="274.55025000000001"/>
    <n v="274.55025000000001"/>
    <n v="238.61489999999998"/>
    <n v="0"/>
    <n v="26.572670170971431"/>
    <n v="0"/>
    <n v="0"/>
    <n v="0"/>
    <n v="38.852276171218456"/>
    <n v="109.97256393160147"/>
    <n v="91.681442849327539"/>
    <n v="1.9170338792149124"/>
    <n v="0"/>
    <n v="0"/>
    <n v="0"/>
    <n v="0"/>
    <n v="4.1061591654647893"/>
    <m/>
    <n v="0.51216790329557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3609152630214409"/>
    <n v="0"/>
    <n v="0"/>
    <n v="0"/>
    <n v="0"/>
    <n v="0"/>
    <m/>
    <m/>
    <m/>
    <m/>
    <m/>
    <m/>
    <n v="154.62162000000001"/>
    <m/>
    <m/>
    <n v="92.617534375629688"/>
    <m/>
    <m/>
    <m/>
    <m/>
    <m/>
    <m/>
    <m/>
    <m/>
    <m/>
    <m/>
    <m/>
    <m/>
    <n v="82.062399999999997"/>
    <n v="-14.608940000000004"/>
    <m/>
    <m/>
    <m/>
    <m/>
    <n v="-47.75865000000001"/>
    <n v="11.823300000000003"/>
    <n v="31"/>
    <n v="12.316543774762806"/>
    <n v="0"/>
    <n v="0"/>
    <n v="0"/>
    <n v="0"/>
    <n v="0"/>
    <n v="0"/>
    <n v="0"/>
    <n v="1.6171165094972295"/>
    <n v="0"/>
    <n v="0"/>
    <n v="11.823076009433294"/>
    <n v="0"/>
    <n v="0"/>
    <n v="0"/>
    <n v="0.12071670038445581"/>
    <n v="0"/>
    <n v="-1.0804181269039894"/>
    <m/>
    <n v="0"/>
    <n v="0"/>
    <n v="0"/>
    <n v="0"/>
    <n v="-0.13055754208948356"/>
    <n v="-3.3389775558628876E-2"/>
    <n v="0"/>
    <n v="0"/>
    <m/>
    <m/>
    <m/>
    <n v="109.97256393160147"/>
    <n v="0"/>
    <n v="0"/>
    <n v="-47.758650000000017"/>
    <n v="11.823300000000003"/>
    <n v="0"/>
    <n v="0"/>
    <n v="-48.252915516592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444" totalsRowShown="0" headerRowDxfId="447" dataDxfId="446" totalsRowDxfId="445">
  <autoFilter ref="A2:FI444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>
    <filterColumn colId="1">
      <filters>
        <filter val="(1.394,69)"/>
        <filter val="(10.811,28)"/>
        <filter val="(11.974,97)"/>
        <filter val="(120.209,74)"/>
        <filter val="(140,64)"/>
        <filter val="(20.450,63)"/>
        <filter val="(202.804,02)"/>
        <filter val="(24.479,03)"/>
        <filter val="(3,00)"/>
        <filter val="(3.480,12)"/>
        <filter val="(3.622.155,45)"/>
        <filter val="(37.581,76)"/>
        <filter val="(4.199,08)"/>
        <filter val="(436,91)"/>
        <filter val="(506.050,00)"/>
        <filter val="(56,36)"/>
        <filter val="(74,35)"/>
        <filter val="(8.195,77)"/>
        <filter val="(853,90)"/>
        <filter val="1.456,70"/>
        <filter val="139.467,33"/>
        <filter val="152.472,50"/>
        <filter val="167,60"/>
        <filter val="211.820,89"/>
        <filter val="24.371,46"/>
        <filter val="4.147,33"/>
        <filter val="58,87"/>
        <filter val="603.070,83"/>
        <filter val="8.560,16"/>
      </filters>
    </filterColumn>
  </autoFilter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2037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A73" zoomScale="90" zoomScaleNormal="90" workbookViewId="0">
      <selection activeCell="E56" sqref="E56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0.1694</v>
      </c>
    </row>
    <row r="2" spans="2:43" ht="28.5" customHeight="1">
      <c r="B2" s="136" t="str">
        <f>CAPA!C9</f>
        <v>Cejama</v>
      </c>
      <c r="C2" s="70"/>
      <c r="D2" s="70"/>
      <c r="E2" s="83" t="s">
        <v>14</v>
      </c>
      <c r="F2" s="84">
        <f ca="1">LnkTXTIRTTotal</f>
        <v>1.52E-2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5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38527.434999999998</v>
      </c>
      <c r="D5" s="1781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2033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2058</v>
      </c>
      <c r="AP5" s="847" t="s">
        <v>37</v>
      </c>
      <c r="AQ5" s="847" t="s">
        <v>2059</v>
      </c>
    </row>
    <row r="6" spans="2:43" ht="16.5">
      <c r="B6" s="93"/>
      <c r="C6" s="88"/>
      <c r="D6" s="1782"/>
      <c r="E6" s="90"/>
      <c r="F6" s="72"/>
      <c r="G6" s="72"/>
      <c r="H6" s="68" t="str">
        <f>CONCATENATE(W6,J6,L6,O6)</f>
        <v>5697A4Não se aplicaEnergia</v>
      </c>
      <c r="I6" s="939">
        <v>2022</v>
      </c>
      <c r="J6" s="940" t="s">
        <v>533</v>
      </c>
      <c r="K6" s="940" t="s">
        <v>750</v>
      </c>
      <c r="L6" s="940" t="s">
        <v>1237</v>
      </c>
      <c r="M6" s="940" t="s">
        <v>252</v>
      </c>
      <c r="N6" s="940">
        <v>5372</v>
      </c>
      <c r="O6" s="940" t="s">
        <v>108</v>
      </c>
      <c r="P6" s="940" t="s">
        <v>751</v>
      </c>
      <c r="Q6" s="941">
        <v>44795</v>
      </c>
      <c r="R6" s="941">
        <v>44785</v>
      </c>
      <c r="S6" s="508" t="s">
        <v>2325</v>
      </c>
      <c r="T6" s="941" t="s">
        <v>2326</v>
      </c>
      <c r="U6" s="940">
        <v>12.06</v>
      </c>
      <c r="V6" s="940">
        <v>111</v>
      </c>
      <c r="W6" s="68">
        <f>VLOOKUP(V6,DescontosTE[[#All],[idsreag supridora]:[codsariSUP]],2,FALSE)</f>
        <v>5697</v>
      </c>
      <c r="AA6" s="848" t="s">
        <v>1143</v>
      </c>
      <c r="AB6" s="849">
        <v>8.2343702549309751E-5</v>
      </c>
      <c r="AC6" s="848">
        <v>2022</v>
      </c>
      <c r="AD6" s="848">
        <v>349.15</v>
      </c>
      <c r="AE6" s="848">
        <v>1101.6037371475227</v>
      </c>
      <c r="AI6" s="895"/>
      <c r="AJ6" s="896"/>
      <c r="AL6" s="898" t="s">
        <v>2379</v>
      </c>
      <c r="AM6" s="899">
        <v>0</v>
      </c>
      <c r="AO6" s="1454" t="s">
        <v>2072</v>
      </c>
      <c r="AP6" s="1455"/>
      <c r="AQ6" s="1455"/>
    </row>
    <row r="7" spans="2:43" ht="16.5">
      <c r="B7" s="942" t="s">
        <v>38</v>
      </c>
      <c r="C7" s="943">
        <v>0</v>
      </c>
      <c r="D7" s="1782"/>
      <c r="E7" s="72"/>
      <c r="F7" s="72"/>
      <c r="G7" s="72"/>
      <c r="H7" s="68" t="str">
        <f t="shared" ref="H7:H30" si="0">CONCATENATE(W7,J7,L7,O7)</f>
        <v>5697A4Fora pontaPotência</v>
      </c>
      <c r="I7" s="506">
        <v>2022</v>
      </c>
      <c r="J7" s="507" t="s">
        <v>533</v>
      </c>
      <c r="K7" s="507" t="s">
        <v>750</v>
      </c>
      <c r="L7" s="507" t="s">
        <v>2327</v>
      </c>
      <c r="M7" s="507" t="s">
        <v>252</v>
      </c>
      <c r="N7" s="507">
        <v>5372</v>
      </c>
      <c r="O7" s="507" t="s">
        <v>1236</v>
      </c>
      <c r="P7" s="507" t="s">
        <v>751</v>
      </c>
      <c r="Q7" s="508">
        <v>44795</v>
      </c>
      <c r="R7" s="508">
        <v>44785</v>
      </c>
      <c r="S7" s="508" t="s">
        <v>2325</v>
      </c>
      <c r="T7" s="508" t="s">
        <v>2326</v>
      </c>
      <c r="U7" s="507">
        <v>13.88</v>
      </c>
      <c r="V7" s="507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2380</v>
      </c>
      <c r="AM7" s="899">
        <v>0</v>
      </c>
      <c r="AO7" s="1454" t="s">
        <v>2073</v>
      </c>
      <c r="AP7" s="1455"/>
      <c r="AQ7" s="1455"/>
    </row>
    <row r="8" spans="2:43" ht="16.5">
      <c r="B8" s="93" t="s">
        <v>39</v>
      </c>
      <c r="C8" s="119">
        <v>0</v>
      </c>
      <c r="D8" s="1782"/>
      <c r="E8" s="72"/>
      <c r="F8" s="72"/>
      <c r="G8" s="72"/>
      <c r="H8" s="68" t="str">
        <f t="shared" si="0"/>
        <v>5697A4PontaPotência</v>
      </c>
      <c r="I8" s="506">
        <v>2022</v>
      </c>
      <c r="J8" s="507" t="s">
        <v>533</v>
      </c>
      <c r="K8" s="507" t="s">
        <v>750</v>
      </c>
      <c r="L8" s="507" t="s">
        <v>891</v>
      </c>
      <c r="M8" s="507" t="s">
        <v>252</v>
      </c>
      <c r="N8" s="507">
        <v>5372</v>
      </c>
      <c r="O8" s="507" t="s">
        <v>1236</v>
      </c>
      <c r="P8" s="507" t="s">
        <v>751</v>
      </c>
      <c r="Q8" s="508">
        <v>44795</v>
      </c>
      <c r="R8" s="508">
        <v>44785</v>
      </c>
      <c r="S8" s="508" t="s">
        <v>2325</v>
      </c>
      <c r="T8" s="508" t="s">
        <v>2326</v>
      </c>
      <c r="U8" s="507">
        <v>24.15</v>
      </c>
      <c r="V8" s="507">
        <v>111</v>
      </c>
      <c r="W8" s="68">
        <f>VLOOKUP(V8,DescontosTE[[#All],[idsreag supridora]:[codsariSUP]],2,FALSE)</f>
        <v>5697</v>
      </c>
      <c r="AI8" s="895"/>
      <c r="AJ8" s="896"/>
      <c r="AL8" s="898" t="s">
        <v>2381</v>
      </c>
      <c r="AM8" s="899">
        <v>0</v>
      </c>
      <c r="AO8" s="1454" t="s">
        <v>2074</v>
      </c>
      <c r="AP8" s="1455"/>
      <c r="AQ8" s="1455"/>
    </row>
    <row r="9" spans="2:43" ht="16.5">
      <c r="B9" s="93" t="s">
        <v>40</v>
      </c>
      <c r="C9" s="119">
        <v>34929.775458793898</v>
      </c>
      <c r="D9" s="1782"/>
      <c r="E9" s="72"/>
      <c r="F9" s="72"/>
      <c r="G9" s="72"/>
      <c r="H9" s="68" t="str">
        <f t="shared" si="0"/>
        <v>5368A4Não se aplicaEnergia</v>
      </c>
      <c r="I9" s="506">
        <v>2019</v>
      </c>
      <c r="J9" s="507" t="s">
        <v>533</v>
      </c>
      <c r="K9" s="507" t="s">
        <v>750</v>
      </c>
      <c r="L9" s="507" t="s">
        <v>1237</v>
      </c>
      <c r="M9" s="507" t="s">
        <v>252</v>
      </c>
      <c r="N9" s="507">
        <v>5372</v>
      </c>
      <c r="O9" s="507" t="s">
        <v>108</v>
      </c>
      <c r="P9" s="507" t="s">
        <v>751</v>
      </c>
      <c r="Q9" s="508">
        <v>43738</v>
      </c>
      <c r="R9" s="508">
        <v>43721</v>
      </c>
      <c r="S9" s="508" t="s">
        <v>2328</v>
      </c>
      <c r="T9" s="508" t="s">
        <v>2329</v>
      </c>
      <c r="U9" s="507">
        <v>4.3600000000000003</v>
      </c>
      <c r="V9" s="507">
        <v>228</v>
      </c>
      <c r="W9" s="68">
        <f>VLOOKUP(V9,DescontosTE[[#All],[idsreag supridora]:[codsariSUP]],2,FALSE)</f>
        <v>5368</v>
      </c>
      <c r="AI9" s="895"/>
      <c r="AJ9" s="896"/>
      <c r="AL9" s="898" t="s">
        <v>2382</v>
      </c>
      <c r="AM9" s="899"/>
      <c r="AO9" s="1454"/>
      <c r="AP9" s="1455" t="s">
        <v>2075</v>
      </c>
      <c r="AQ9" s="1455"/>
    </row>
    <row r="10" spans="2:43" ht="16.5">
      <c r="B10" s="93" t="s">
        <v>41</v>
      </c>
      <c r="C10" s="119">
        <v>2143989.9657600001</v>
      </c>
      <c r="D10" s="1782"/>
      <c r="H10" s="68" t="str">
        <f t="shared" si="0"/>
        <v>5368A4Fora pontaPotência</v>
      </c>
      <c r="I10" s="506">
        <v>2019</v>
      </c>
      <c r="J10" s="507" t="s">
        <v>533</v>
      </c>
      <c r="K10" s="507" t="s">
        <v>750</v>
      </c>
      <c r="L10" s="507" t="s">
        <v>2327</v>
      </c>
      <c r="M10" s="507" t="s">
        <v>252</v>
      </c>
      <c r="N10" s="507">
        <v>5372</v>
      </c>
      <c r="O10" s="507" t="s">
        <v>1236</v>
      </c>
      <c r="P10" s="507" t="s">
        <v>751</v>
      </c>
      <c r="Q10" s="508">
        <v>43738</v>
      </c>
      <c r="R10" s="508">
        <v>43721</v>
      </c>
      <c r="S10" s="508" t="s">
        <v>2328</v>
      </c>
      <c r="T10" s="508" t="s">
        <v>2329</v>
      </c>
      <c r="U10" s="507">
        <v>13.77</v>
      </c>
      <c r="V10" s="507">
        <v>228</v>
      </c>
      <c r="W10" s="68">
        <f>VLOOKUP(V10,DescontosTE[[#All],[idsreag supridora]:[codsariSUP]],2,FALSE)</f>
        <v>5368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2383</v>
      </c>
      <c r="AM10" s="899">
        <v>0</v>
      </c>
    </row>
    <row r="11" spans="2:43" ht="16.5">
      <c r="B11" s="93" t="s">
        <v>46</v>
      </c>
      <c r="C11" s="119">
        <v>167658.554641667</v>
      </c>
      <c r="D11" s="1782"/>
      <c r="H11" s="68" t="str">
        <f t="shared" si="0"/>
        <v>5368A4PontaPotência</v>
      </c>
      <c r="I11" s="506">
        <v>2019</v>
      </c>
      <c r="J11" s="507" t="s">
        <v>533</v>
      </c>
      <c r="K11" s="507" t="s">
        <v>750</v>
      </c>
      <c r="L11" s="507" t="s">
        <v>891</v>
      </c>
      <c r="M11" s="507" t="s">
        <v>252</v>
      </c>
      <c r="N11" s="507">
        <v>5372</v>
      </c>
      <c r="O11" s="507" t="s">
        <v>1236</v>
      </c>
      <c r="P11" s="507" t="s">
        <v>751</v>
      </c>
      <c r="Q11" s="508">
        <v>43738</v>
      </c>
      <c r="R11" s="508">
        <v>43721</v>
      </c>
      <c r="S11" s="508" t="s">
        <v>2328</v>
      </c>
      <c r="T11" s="508" t="s">
        <v>2329</v>
      </c>
      <c r="U11" s="507">
        <v>38.28</v>
      </c>
      <c r="V11" s="507">
        <v>228</v>
      </c>
      <c r="W11" s="68">
        <f>VLOOKUP(V11,DescontosTE[[#All],[idsreag supridora]:[codsariSUP]],2,FALSE)</f>
        <v>5368</v>
      </c>
      <c r="AA11" s="848">
        <v>0.87029999999999996</v>
      </c>
      <c r="AB11" s="849">
        <v>195.04</v>
      </c>
      <c r="AC11" s="848">
        <v>14739.74</v>
      </c>
      <c r="AD11" s="848">
        <v>1.2653210000000001E-4</v>
      </c>
      <c r="AI11" s="895"/>
      <c r="AJ11" s="896"/>
      <c r="AL11" s="898" t="s">
        <v>2384</v>
      </c>
      <c r="AM11" s="899">
        <v>0</v>
      </c>
    </row>
    <row r="12" spans="2:43" ht="16.5">
      <c r="B12" s="93" t="s">
        <v>47</v>
      </c>
      <c r="C12" s="119">
        <v>356127.26559999998</v>
      </c>
      <c r="D12" s="1782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5"/>
      <c r="AJ12" s="896"/>
      <c r="AL12" s="898" t="s">
        <v>2385</v>
      </c>
      <c r="AM12" s="899">
        <v>0</v>
      </c>
    </row>
    <row r="13" spans="2:43" ht="16.5">
      <c r="B13" s="93" t="s">
        <v>48</v>
      </c>
      <c r="C13" s="119">
        <v>0</v>
      </c>
      <c r="D13" s="1782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5"/>
      <c r="AJ13" s="896"/>
      <c r="AL13" s="898" t="s">
        <v>2386</v>
      </c>
      <c r="AM13" s="899">
        <v>0</v>
      </c>
    </row>
    <row r="14" spans="2:43" ht="16.5">
      <c r="B14" s="93" t="s">
        <v>49</v>
      </c>
      <c r="C14" s="119">
        <v>0</v>
      </c>
      <c r="D14" s="1782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7"/>
      <c r="AB14" s="797"/>
      <c r="AC14" s="797"/>
      <c r="AI14" s="895"/>
      <c r="AJ14" s="896"/>
      <c r="AL14" s="898" t="s">
        <v>2387</v>
      </c>
      <c r="AM14" s="899">
        <v>0</v>
      </c>
    </row>
    <row r="15" spans="2:43" ht="16.5">
      <c r="B15" s="944" t="s">
        <v>2034</v>
      </c>
      <c r="C15" s="945">
        <v>0</v>
      </c>
      <c r="D15" s="1782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1" t="s">
        <v>109</v>
      </c>
      <c r="AB15" s="901" t="s">
        <v>896</v>
      </c>
      <c r="AC15" s="797"/>
      <c r="AI15" s="895"/>
      <c r="AJ15" s="896"/>
      <c r="AL15" s="898"/>
      <c r="AM15" s="899"/>
    </row>
    <row r="16" spans="2:43" ht="16.5">
      <c r="D16" s="1782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8">
        <v>2022</v>
      </c>
      <c r="AB16" s="849">
        <v>659.81567944888718</v>
      </c>
      <c r="AC16" s="847"/>
      <c r="AI16" s="895"/>
      <c r="AJ16" s="896"/>
      <c r="AL16" s="898"/>
      <c r="AM16" s="899"/>
    </row>
    <row r="17" spans="2:42" ht="16.5">
      <c r="B17" s="937" t="s">
        <v>50</v>
      </c>
      <c r="C17" s="946"/>
      <c r="D17" s="1782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82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82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82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82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2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8" t="s">
        <v>1144</v>
      </c>
      <c r="AB22" s="849"/>
      <c r="AC22" s="848"/>
      <c r="AD22" s="848"/>
      <c r="AE22" s="849">
        <v>3325.4460301696313</v>
      </c>
      <c r="AF22" s="854">
        <v>44774</v>
      </c>
      <c r="AG22" s="848">
        <v>136.09126865561183</v>
      </c>
    </row>
    <row r="23" spans="2:42" ht="16.5">
      <c r="B23" s="93" t="s">
        <v>64</v>
      </c>
      <c r="C23" s="119"/>
      <c r="D23" s="1782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8" t="s">
        <v>1144</v>
      </c>
      <c r="AB23" s="849"/>
      <c r="AC23" s="848"/>
      <c r="AD23" s="848"/>
      <c r="AE23" s="849">
        <v>5310.6241366307759</v>
      </c>
      <c r="AF23" s="848">
        <v>44774</v>
      </c>
      <c r="AG23" s="848">
        <v>157.22474442295163</v>
      </c>
      <c r="AI23" s="847" t="s">
        <v>2062</v>
      </c>
      <c r="AM23" s="847" t="s">
        <v>2066</v>
      </c>
    </row>
    <row r="24" spans="2:42" ht="16.5">
      <c r="B24" s="93" t="s">
        <v>65</v>
      </c>
      <c r="C24" s="119">
        <v>0</v>
      </c>
      <c r="D24" s="1782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2060</v>
      </c>
      <c r="AJ24" s="68" t="s">
        <v>2061</v>
      </c>
      <c r="AK24" s="68" t="s">
        <v>1415</v>
      </c>
      <c r="AM24" s="68" t="s">
        <v>2063</v>
      </c>
      <c r="AN24" s="68" t="s">
        <v>2064</v>
      </c>
      <c r="AO24" s="68" t="s">
        <v>2065</v>
      </c>
      <c r="AP24" s="68" t="s">
        <v>37</v>
      </c>
    </row>
    <row r="25" spans="2:42" ht="16.5">
      <c r="B25" s="93" t="s">
        <v>66</v>
      </c>
      <c r="C25" s="119">
        <v>3145735.0075300001</v>
      </c>
      <c r="D25" s="1782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2076</v>
      </c>
      <c r="AJ25" s="257" t="s">
        <v>41</v>
      </c>
      <c r="AK25" s="69">
        <v>-87172.482404037903</v>
      </c>
      <c r="AM25" s="1458"/>
      <c r="AN25" s="1458"/>
      <c r="AO25" s="1458"/>
      <c r="AP25" s="1457"/>
    </row>
    <row r="26" spans="2:42" ht="16.5">
      <c r="B26" s="937" t="s">
        <v>67</v>
      </c>
      <c r="C26" s="947">
        <v>7500000</v>
      </c>
      <c r="D26" s="1782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1" t="s">
        <v>2067</v>
      </c>
      <c r="AB26" s="901" t="s">
        <v>37</v>
      </c>
      <c r="AD26" s="847"/>
      <c r="AE26" s="909"/>
      <c r="AF26" s="847"/>
      <c r="AG26" s="847"/>
      <c r="AI26" s="257" t="s">
        <v>2076</v>
      </c>
      <c r="AJ26" s="257" t="s">
        <v>47</v>
      </c>
      <c r="AK26" s="69">
        <v>-11323.258206558499</v>
      </c>
      <c r="AM26" s="1458"/>
      <c r="AN26" s="1458"/>
      <c r="AO26" s="1458"/>
      <c r="AP26" s="1457"/>
    </row>
    <row r="27" spans="2:42" ht="16.5">
      <c r="C27" s="69"/>
      <c r="D27" s="1782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8" t="s">
        <v>2069</v>
      </c>
      <c r="AB27" s="849">
        <v>1680.6710400000002</v>
      </c>
      <c r="AI27" s="257" t="s">
        <v>2076</v>
      </c>
      <c r="AJ27" s="257" t="s">
        <v>40</v>
      </c>
      <c r="AK27" s="69">
        <v>-2277.17776802855</v>
      </c>
      <c r="AM27" s="1458"/>
      <c r="AN27" s="1458"/>
      <c r="AO27" s="1458"/>
      <c r="AP27" s="1457"/>
    </row>
    <row r="28" spans="2:42" ht="16.5">
      <c r="B28" s="936" t="s">
        <v>68</v>
      </c>
      <c r="C28" s="948"/>
      <c r="D28" s="1782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8" t="s">
        <v>2070</v>
      </c>
      <c r="AB28" s="849">
        <v>0</v>
      </c>
      <c r="AI28" s="257" t="s">
        <v>2077</v>
      </c>
      <c r="AJ28" s="257" t="s">
        <v>2078</v>
      </c>
      <c r="AK28" s="69">
        <v>1041124.9184610546</v>
      </c>
      <c r="AM28" s="1458"/>
      <c r="AN28" s="1458"/>
      <c r="AO28" s="1458"/>
      <c r="AP28" s="1457"/>
    </row>
    <row r="29" spans="2:42" ht="18" customHeight="1">
      <c r="D29" s="1782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8"/>
      <c r="AB29" s="849"/>
      <c r="AI29" s="257" t="s">
        <v>2079</v>
      </c>
      <c r="AJ29" s="257" t="s">
        <v>2080</v>
      </c>
      <c r="AK29" s="69">
        <v>130932.3549735444</v>
      </c>
      <c r="AM29" s="1458"/>
      <c r="AN29" s="1458"/>
      <c r="AO29" s="1458"/>
      <c r="AP29" s="1457"/>
    </row>
    <row r="30" spans="2:42" ht="16.5">
      <c r="B30" s="949"/>
      <c r="C30" s="950"/>
      <c r="D30" s="1782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-3290792.2979728901</v>
      </c>
      <c r="AM30" s="1458"/>
      <c r="AN30" s="1458"/>
      <c r="AO30" s="1458"/>
      <c r="AP30" s="1457"/>
    </row>
    <row r="31" spans="2:42">
      <c r="B31" s="654" t="s">
        <v>69</v>
      </c>
      <c r="C31" s="655">
        <v>6.83005112162627E-3</v>
      </c>
      <c r="D31" s="1783"/>
      <c r="AI31" s="257"/>
      <c r="AJ31" s="257"/>
      <c r="AK31" s="69"/>
      <c r="AM31" s="1458"/>
      <c r="AN31" s="1458"/>
      <c r="AO31" s="1458"/>
      <c r="AP31" s="1457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9" t="s">
        <v>41</v>
      </c>
      <c r="C35" s="953">
        <v>1975007.0801999997</v>
      </c>
      <c r="AA35" s="196">
        <v>44593</v>
      </c>
      <c r="AB35" s="1570">
        <v>3933.5147999999999</v>
      </c>
      <c r="AC35" s="1570">
        <v>141.43940000000001</v>
      </c>
      <c r="AD35" s="1570">
        <v>0</v>
      </c>
      <c r="AI35" s="257"/>
      <c r="AJ35" s="257"/>
      <c r="AK35" s="69"/>
    </row>
    <row r="36" spans="1:37">
      <c r="B36" s="654" t="s">
        <v>47</v>
      </c>
      <c r="C36" s="87">
        <v>272522.88217</v>
      </c>
      <c r="AA36" s="196">
        <v>44621</v>
      </c>
      <c r="AB36" s="1570">
        <v>4885.4488000000001</v>
      </c>
      <c r="AC36" s="1570">
        <v>174.71199999999999</v>
      </c>
      <c r="AD36" s="1570">
        <v>0</v>
      </c>
      <c r="AI36" s="257"/>
      <c r="AJ36" s="257"/>
      <c r="AK36" s="69"/>
    </row>
    <row r="37" spans="1:37">
      <c r="B37" s="951" t="s">
        <v>40</v>
      </c>
      <c r="C37" s="954">
        <v>39346.087773612468</v>
      </c>
      <c r="AA37" s="196">
        <v>44652</v>
      </c>
      <c r="AB37" s="1570">
        <v>4181.8343000000004</v>
      </c>
      <c r="AC37" s="1570">
        <v>143.47720000000001</v>
      </c>
      <c r="AD37" s="1570">
        <v>0</v>
      </c>
      <c r="AI37" s="257"/>
      <c r="AJ37" s="257"/>
      <c r="AK37" s="69"/>
    </row>
    <row r="38" spans="1:37">
      <c r="AA38" s="196">
        <v>44682</v>
      </c>
      <c r="AB38" s="1570">
        <v>4044.3984999999998</v>
      </c>
      <c r="AC38" s="1570">
        <v>143.6061</v>
      </c>
      <c r="AD38" s="1570">
        <v>0</v>
      </c>
      <c r="AI38" s="257"/>
      <c r="AJ38" s="257"/>
      <c r="AK38" s="69"/>
    </row>
    <row r="39" spans="1:37">
      <c r="D39" s="89"/>
      <c r="AA39" s="196">
        <v>44713</v>
      </c>
      <c r="AB39" s="1570">
        <v>3704.7365</v>
      </c>
      <c r="AC39" s="1570">
        <v>97.044899999999998</v>
      </c>
      <c r="AD39" s="1570">
        <v>0</v>
      </c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/>
      <c r="AB40" s="1570"/>
      <c r="AC40" s="1570"/>
      <c r="AD40" s="1570"/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0"/>
      <c r="AC41" s="1570"/>
      <c r="AD41" s="1570"/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70"/>
      <c r="AC42" s="1570"/>
      <c r="AD42" s="1570"/>
      <c r="AI42" s="257"/>
      <c r="AJ42" s="257"/>
      <c r="AK42" s="69"/>
    </row>
    <row r="43" spans="1:37" ht="16.5">
      <c r="A43" s="955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5368A4</v>
      </c>
      <c r="I43" s="506">
        <v>2019</v>
      </c>
      <c r="J43" s="507" t="s">
        <v>533</v>
      </c>
      <c r="K43" s="507" t="s">
        <v>2330</v>
      </c>
      <c r="L43" s="507" t="s">
        <v>1237</v>
      </c>
      <c r="M43" s="507" t="s">
        <v>252</v>
      </c>
      <c r="N43" s="507">
        <v>5372</v>
      </c>
      <c r="O43" s="508">
        <v>43738</v>
      </c>
      <c r="P43" s="508">
        <v>43721</v>
      </c>
      <c r="Q43" s="508" t="s">
        <v>2328</v>
      </c>
      <c r="R43" s="508" t="s">
        <v>2329</v>
      </c>
      <c r="S43" s="507">
        <v>108.08</v>
      </c>
      <c r="T43" s="507">
        <v>228</v>
      </c>
      <c r="U43" s="68">
        <f>VLOOKUP(T43,DescontosTE[[#All],[idsreag supridora]:[codsariSUP]],2,FALSE)</f>
        <v>5368</v>
      </c>
      <c r="AA43" s="196"/>
      <c r="AB43" s="1570"/>
      <c r="AC43" s="1570"/>
      <c r="AD43" s="1570"/>
      <c r="AI43" s="257"/>
      <c r="AJ43" s="257"/>
      <c r="AK43" s="69"/>
    </row>
    <row r="44" spans="1:37" ht="16.5">
      <c r="A44" s="955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str">
        <f t="shared" ref="H44:H59" si="2">CONCATENATE(U44,J44)</f>
        <v>5697A4</v>
      </c>
      <c r="I44" s="506">
        <v>2022</v>
      </c>
      <c r="J44" s="507" t="s">
        <v>533</v>
      </c>
      <c r="K44" s="507" t="s">
        <v>2330</v>
      </c>
      <c r="L44" s="507" t="s">
        <v>1237</v>
      </c>
      <c r="M44" s="507" t="s">
        <v>252</v>
      </c>
      <c r="N44" s="507">
        <v>5372</v>
      </c>
      <c r="O44" s="508">
        <v>44795</v>
      </c>
      <c r="P44" s="508">
        <v>44785</v>
      </c>
      <c r="Q44" s="508" t="s">
        <v>2325</v>
      </c>
      <c r="R44" s="508" t="s">
        <v>2326</v>
      </c>
      <c r="S44" s="507">
        <v>284.99</v>
      </c>
      <c r="T44" s="507">
        <v>111</v>
      </c>
      <c r="U44" s="68">
        <f>VLOOKUP(T44,DescontosTE[[#All],[idsreag supridora]:[codsariSUP]],2,FALSE)</f>
        <v>5697</v>
      </c>
      <c r="AA44" s="196"/>
      <c r="AB44" s="1570"/>
      <c r="AC44" s="1570"/>
      <c r="AD44" s="1570"/>
      <c r="AI44" s="257"/>
      <c r="AJ44" s="257"/>
      <c r="AK44" s="69"/>
    </row>
    <row r="45" spans="1:37" ht="16.5">
      <c r="A45" s="955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8">
        <v>44718</v>
      </c>
      <c r="C49" s="532">
        <v>315961.48930000002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8">
        <v>44749</v>
      </c>
      <c r="C50" s="532">
        <v>14618.18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5">
        <f t="shared" si="1"/>
        <v>44774</v>
      </c>
      <c r="B51" s="508">
        <v>44781</v>
      </c>
      <c r="C51" s="532">
        <v>2647.5902000000001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5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1"/>
    </row>
    <row r="53" spans="1:28" ht="16.5">
      <c r="A53" s="955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0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1"/>
    </row>
    <row r="54" spans="1:28" ht="16.5">
      <c r="A54" s="955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0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1"/>
    </row>
    <row r="55" spans="1:28" ht="16.5">
      <c r="A55" s="955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1"/>
    </row>
    <row r="56" spans="1:28" ht="16.5">
      <c r="A56" s="955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1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1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1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71"/>
    </row>
    <row r="60" spans="1:28">
      <c r="B60" s="951" t="s">
        <v>75</v>
      </c>
      <c r="C60" s="72"/>
      <c r="AA60" s="196"/>
      <c r="AB60" s="1571"/>
    </row>
    <row r="61" spans="1:28" ht="16.5">
      <c r="B61" s="959" t="s">
        <v>695</v>
      </c>
      <c r="C61" s="821">
        <v>0</v>
      </c>
      <c r="D61" s="68">
        <v>0</v>
      </c>
      <c r="AA61" s="196"/>
      <c r="AB61" s="1571"/>
    </row>
    <row r="62" spans="1:28" ht="16.5">
      <c r="B62" s="691" t="s">
        <v>697</v>
      </c>
      <c r="C62" s="532">
        <v>0</v>
      </c>
      <c r="D62" s="69">
        <v>0</v>
      </c>
      <c r="AA62" s="196"/>
      <c r="AB62" s="1571"/>
    </row>
    <row r="63" spans="1:28" ht="16.5">
      <c r="B63" s="691" t="s">
        <v>699</v>
      </c>
      <c r="C63" s="532">
        <v>0</v>
      </c>
      <c r="D63" s="69">
        <v>0</v>
      </c>
      <c r="AA63" s="196"/>
      <c r="AB63" s="1571"/>
    </row>
    <row r="64" spans="1:28" ht="16.5">
      <c r="B64" s="691" t="s">
        <v>700</v>
      </c>
      <c r="C64" s="532">
        <v>629.13</v>
      </c>
      <c r="D64" s="69">
        <v>0</v>
      </c>
      <c r="I64" s="68" t="s">
        <v>2178</v>
      </c>
    </row>
    <row r="65" spans="2:16" ht="16.5">
      <c r="B65" s="691" t="s">
        <v>703</v>
      </c>
      <c r="C65" s="532">
        <v>34109.33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1121</v>
      </c>
    </row>
    <row r="66" spans="2:16" ht="16.5">
      <c r="B66" s="960" t="s">
        <v>705</v>
      </c>
      <c r="C66" s="820">
        <v>1711.74</v>
      </c>
      <c r="D66" s="69">
        <v>0</v>
      </c>
      <c r="I66" s="68" t="s">
        <v>2375</v>
      </c>
      <c r="J66" s="68">
        <v>5697</v>
      </c>
      <c r="K66" s="1569">
        <v>44469</v>
      </c>
      <c r="L66" s="68" t="s">
        <v>2036</v>
      </c>
      <c r="M66" s="68">
        <v>0</v>
      </c>
    </row>
    <row r="67" spans="2:16">
      <c r="K67" s="1569"/>
    </row>
    <row r="68" spans="2:16">
      <c r="D68" s="837"/>
      <c r="E68" s="837"/>
      <c r="K68" s="1569"/>
    </row>
    <row r="69" spans="2:16">
      <c r="C69" s="1751"/>
      <c r="D69" s="1751"/>
      <c r="E69" s="1751"/>
      <c r="K69" s="1569"/>
    </row>
    <row r="70" spans="2:16">
      <c r="B70" s="901" t="s">
        <v>72</v>
      </c>
      <c r="C70" s="901" t="s">
        <v>37</v>
      </c>
      <c r="D70" s="901" t="s">
        <v>73</v>
      </c>
      <c r="K70" s="1569"/>
    </row>
    <row r="71" spans="2:16">
      <c r="B71" s="848" t="s">
        <v>49</v>
      </c>
      <c r="C71" s="1456"/>
      <c r="D71" s="849"/>
      <c r="K71" s="1569"/>
    </row>
    <row r="72" spans="2:16">
      <c r="B72" s="848" t="s">
        <v>766</v>
      </c>
      <c r="C72" s="1750">
        <v>1190477.8099999998</v>
      </c>
      <c r="D72" s="849" t="s">
        <v>2397</v>
      </c>
      <c r="K72" s="1569"/>
    </row>
    <row r="73" spans="2:16">
      <c r="B73" s="848" t="s">
        <v>2319</v>
      </c>
      <c r="C73" s="1456">
        <v>1172337.4099999999</v>
      </c>
      <c r="D73" s="849" t="s">
        <v>2397</v>
      </c>
      <c r="K73" s="1569"/>
    </row>
    <row r="74" spans="2:16">
      <c r="B74" s="848" t="s">
        <v>2071</v>
      </c>
      <c r="C74" s="1456">
        <v>-564354.49</v>
      </c>
      <c r="D74" s="849" t="s">
        <v>2320</v>
      </c>
      <c r="K74" s="1569"/>
    </row>
    <row r="75" spans="2:16">
      <c r="B75" s="848" t="s">
        <v>2321</v>
      </c>
      <c r="C75" s="1456"/>
      <c r="D75" s="849"/>
      <c r="K75" s="1569"/>
    </row>
    <row r="76" spans="2:16">
      <c r="B76" s="848" t="s">
        <v>2322</v>
      </c>
      <c r="C76" s="1456">
        <v>0</v>
      </c>
      <c r="D76" s="849"/>
    </row>
    <row r="77" spans="2:16">
      <c r="B77" s="848" t="s">
        <v>2323</v>
      </c>
      <c r="C77" s="1456">
        <v>0</v>
      </c>
      <c r="D77" s="84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1121</v>
      </c>
    </row>
    <row r="80" spans="2:16">
      <c r="I80" s="68" t="s">
        <v>2375</v>
      </c>
      <c r="J80" s="68">
        <v>5697</v>
      </c>
      <c r="K80" s="1569">
        <v>44469</v>
      </c>
      <c r="L80" s="68" t="s">
        <v>2036</v>
      </c>
      <c r="M80" s="68" t="s">
        <v>178</v>
      </c>
      <c r="N80" s="68" t="s">
        <v>1235</v>
      </c>
      <c r="O80" s="68" t="s">
        <v>1236</v>
      </c>
      <c r="P80" s="68">
        <v>0</v>
      </c>
    </row>
    <row r="81" spans="2:16">
      <c r="I81" s="68" t="s">
        <v>2375</v>
      </c>
      <c r="J81" s="68">
        <v>5697</v>
      </c>
      <c r="K81" s="1569">
        <v>44469</v>
      </c>
      <c r="L81" s="68" t="s">
        <v>2036</v>
      </c>
      <c r="M81" s="68" t="s">
        <v>180</v>
      </c>
      <c r="N81" s="68" t="s">
        <v>891</v>
      </c>
      <c r="O81" s="68" t="s">
        <v>1236</v>
      </c>
      <c r="P81" s="68">
        <v>0</v>
      </c>
    </row>
    <row r="82" spans="2:16">
      <c r="B82" s="901" t="s">
        <v>693</v>
      </c>
      <c r="C82" s="901" t="s">
        <v>2172</v>
      </c>
      <c r="D82" s="901" t="s">
        <v>37</v>
      </c>
      <c r="I82" s="68" t="s">
        <v>2375</v>
      </c>
      <c r="J82" s="68">
        <v>5697</v>
      </c>
      <c r="K82" s="1569">
        <v>44469</v>
      </c>
      <c r="L82" s="68" t="s">
        <v>2036</v>
      </c>
      <c r="M82" s="68" t="s">
        <v>182</v>
      </c>
      <c r="N82" s="68" t="s">
        <v>1237</v>
      </c>
      <c r="O82" s="68" t="s">
        <v>108</v>
      </c>
      <c r="P82" s="68">
        <v>0</v>
      </c>
    </row>
    <row r="83" spans="2:16">
      <c r="B83" s="848" t="s">
        <v>1436</v>
      </c>
      <c r="C83" s="1456" t="s">
        <v>2376</v>
      </c>
      <c r="D83" s="849">
        <v>208.11686383065501</v>
      </c>
      <c r="I83" s="68" t="s">
        <v>2375</v>
      </c>
      <c r="J83" s="68">
        <v>5697</v>
      </c>
      <c r="K83" s="1569">
        <v>44469</v>
      </c>
      <c r="L83" s="68" t="s">
        <v>2036</v>
      </c>
      <c r="M83" s="68" t="s">
        <v>184</v>
      </c>
      <c r="N83" s="68" t="s">
        <v>1237</v>
      </c>
      <c r="O83" s="68" t="s">
        <v>108</v>
      </c>
      <c r="P83" s="68">
        <v>0</v>
      </c>
    </row>
    <row r="84" spans="2:16">
      <c r="B84" s="848" t="s">
        <v>2377</v>
      </c>
      <c r="C84" s="1456" t="s">
        <v>2378</v>
      </c>
      <c r="D84" s="849">
        <v>0</v>
      </c>
      <c r="K84" s="1569"/>
    </row>
    <row r="85" spans="2:16">
      <c r="B85" s="848" t="s">
        <v>1429</v>
      </c>
      <c r="C85" s="1456" t="s">
        <v>2378</v>
      </c>
      <c r="D85" s="849">
        <v>0</v>
      </c>
      <c r="K85" s="1569"/>
    </row>
    <row r="86" spans="2:16">
      <c r="B86" s="848" t="s">
        <v>1428</v>
      </c>
      <c r="C86" s="1456" t="s">
        <v>2378</v>
      </c>
      <c r="D86" s="849">
        <v>6.83005112162627E-3</v>
      </c>
      <c r="K86" s="1569"/>
    </row>
    <row r="87" spans="2:16">
      <c r="K87" s="1569"/>
    </row>
    <row r="88" spans="2:16">
      <c r="K88" s="1569"/>
    </row>
    <row r="89" spans="2:16">
      <c r="K89" s="1569"/>
    </row>
    <row r="90" spans="2:16">
      <c r="K90" s="1569"/>
    </row>
    <row r="91" spans="2:16">
      <c r="K91" s="1569"/>
    </row>
    <row r="92" spans="2:16">
      <c r="K92" s="1569"/>
    </row>
    <row r="93" spans="2:16">
      <c r="K93" s="1569"/>
    </row>
    <row r="94" spans="2:16">
      <c r="K94" s="1569"/>
    </row>
    <row r="95" spans="2:16">
      <c r="K95" s="1569"/>
    </row>
    <row r="96" spans="2:16">
      <c r="K96" s="1569"/>
    </row>
    <row r="97" spans="2:11">
      <c r="K97" s="1569"/>
    </row>
    <row r="98" spans="2:11">
      <c r="K98" s="1569"/>
    </row>
    <row r="103" spans="2:11" ht="25.5" customHeight="1">
      <c r="B103" s="68" t="s">
        <v>2188</v>
      </c>
      <c r="C103" s="1572" t="s">
        <v>2190</v>
      </c>
      <c r="D103" s="68" t="s">
        <v>2189</v>
      </c>
    </row>
    <row r="104" spans="2:11">
      <c r="B104" s="69">
        <v>9742223.1963606756</v>
      </c>
      <c r="C104" s="196">
        <v>44531</v>
      </c>
      <c r="D104" s="68" t="s">
        <v>2324</v>
      </c>
    </row>
    <row r="108" spans="2:11" ht="28.5">
      <c r="B108" s="1572" t="s">
        <v>2186</v>
      </c>
      <c r="C108" s="1572" t="s">
        <v>2187</v>
      </c>
      <c r="D108" s="1572" t="s">
        <v>213</v>
      </c>
      <c r="E108" s="1572" t="s">
        <v>214</v>
      </c>
      <c r="F108" s="1572" t="s">
        <v>2191</v>
      </c>
      <c r="G108" s="1572" t="s">
        <v>2192</v>
      </c>
      <c r="H108" s="1572" t="s">
        <v>2193</v>
      </c>
    </row>
    <row r="109" spans="2:11">
      <c r="B109" s="1572" t="s">
        <v>155</v>
      </c>
      <c r="C109" s="1572">
        <v>111</v>
      </c>
      <c r="D109" s="1572">
        <v>59.846956156846908</v>
      </c>
      <c r="E109" s="1572">
        <v>180.36</v>
      </c>
      <c r="F109" s="1573">
        <v>3290792.2979728933</v>
      </c>
      <c r="G109" s="1574">
        <v>44430</v>
      </c>
      <c r="H109" s="1574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B2">
        <v>5372</v>
      </c>
      <c r="C2" t="s">
        <v>2331</v>
      </c>
      <c r="D2">
        <v>5697</v>
      </c>
      <c r="E2" t="s">
        <v>2201</v>
      </c>
      <c r="F2" t="s">
        <v>2036</v>
      </c>
      <c r="G2">
        <v>2021</v>
      </c>
      <c r="H2">
        <v>11</v>
      </c>
      <c r="I2" s="8">
        <v>44501</v>
      </c>
      <c r="J2">
        <v>7100</v>
      </c>
      <c r="K2">
        <v>6294.96</v>
      </c>
      <c r="L2">
        <v>2860824</v>
      </c>
      <c r="M2">
        <v>301237</v>
      </c>
      <c r="N2">
        <v>2790425</v>
      </c>
      <c r="O2">
        <v>301237</v>
      </c>
      <c r="P2">
        <v>70399</v>
      </c>
      <c r="Q2">
        <v>11.83</v>
      </c>
      <c r="R2">
        <v>21.22</v>
      </c>
      <c r="S2">
        <v>14.37</v>
      </c>
      <c r="T2">
        <v>313.3</v>
      </c>
      <c r="U2">
        <v>45332.1</v>
      </c>
      <c r="V2">
        <v>0</v>
      </c>
      <c r="W2">
        <v>0</v>
      </c>
      <c r="X2">
        <v>1276960.6599999999</v>
      </c>
      <c r="AA2" s="232">
        <f>J2*Q2+K2*R2+((L2+M2)/1000)*S2</f>
        <v>263010.86777000001</v>
      </c>
      <c r="AB2" s="232">
        <f>((N2+O2)/1000)*T2</f>
        <v>968617.70459999994</v>
      </c>
    </row>
    <row r="3" spans="1:28">
      <c r="A3" t="s">
        <v>2332</v>
      </c>
      <c r="B3">
        <v>5372</v>
      </c>
      <c r="C3" t="s">
        <v>2331</v>
      </c>
      <c r="D3">
        <v>5697</v>
      </c>
      <c r="E3" t="s">
        <v>2201</v>
      </c>
      <c r="F3" t="s">
        <v>2036</v>
      </c>
      <c r="G3">
        <v>2022</v>
      </c>
      <c r="H3">
        <v>5</v>
      </c>
      <c r="I3" s="8">
        <v>44682</v>
      </c>
      <c r="J3">
        <v>3500</v>
      </c>
      <c r="K3">
        <v>2800</v>
      </c>
      <c r="L3">
        <v>1259346</v>
      </c>
      <c r="M3">
        <v>100301</v>
      </c>
      <c r="N3">
        <v>0</v>
      </c>
      <c r="O3">
        <v>0</v>
      </c>
      <c r="Q3">
        <v>11.83</v>
      </c>
      <c r="R3">
        <v>21.22</v>
      </c>
      <c r="S3">
        <v>14.37</v>
      </c>
      <c r="T3">
        <v>313.3</v>
      </c>
      <c r="U3">
        <v>2632.01</v>
      </c>
      <c r="V3">
        <v>0</v>
      </c>
      <c r="W3">
        <v>-3823.44</v>
      </c>
      <c r="X3">
        <v>119167.69</v>
      </c>
      <c r="AA3" s="232">
        <f t="shared" ref="AA3:AA66" si="0">J3*Q3+K3*R3+((L3+M3)/1000)*S3</f>
        <v>120359.12738999999</v>
      </c>
      <c r="AB3" s="232">
        <f t="shared" ref="AB3:AB66" si="1">((N3+O3)/1000)*T3</f>
        <v>0</v>
      </c>
    </row>
    <row r="4" spans="1:28">
      <c r="A4" t="s">
        <v>2333</v>
      </c>
      <c r="B4">
        <v>5372</v>
      </c>
      <c r="C4" t="s">
        <v>2331</v>
      </c>
      <c r="D4">
        <v>5697</v>
      </c>
      <c r="E4" t="s">
        <v>2201</v>
      </c>
      <c r="F4" t="s">
        <v>2036</v>
      </c>
      <c r="G4">
        <v>2021</v>
      </c>
      <c r="H4">
        <v>6</v>
      </c>
      <c r="I4" s="8">
        <v>44348</v>
      </c>
      <c r="J4">
        <v>7100</v>
      </c>
      <c r="K4">
        <v>5900</v>
      </c>
      <c r="L4">
        <v>307739</v>
      </c>
      <c r="M4">
        <v>3057363</v>
      </c>
      <c r="N4">
        <v>2993930</v>
      </c>
      <c r="O4">
        <v>307739</v>
      </c>
      <c r="P4">
        <v>63433</v>
      </c>
      <c r="Q4">
        <v>12.33</v>
      </c>
      <c r="R4">
        <v>23.94</v>
      </c>
      <c r="S4">
        <v>10.17</v>
      </c>
      <c r="T4">
        <v>273.57</v>
      </c>
      <c r="U4">
        <v>77219.44</v>
      </c>
      <c r="V4">
        <v>0</v>
      </c>
      <c r="W4">
        <v>-20806.849999999999</v>
      </c>
      <c r="X4">
        <v>1222662.25</v>
      </c>
      <c r="AA4" s="232">
        <f t="shared" si="0"/>
        <v>263012.08733999997</v>
      </c>
      <c r="AB4" s="232">
        <f t="shared" si="1"/>
        <v>903237.58832999994</v>
      </c>
    </row>
    <row r="5" spans="1:28">
      <c r="A5" t="s">
        <v>2334</v>
      </c>
      <c r="B5">
        <v>5372</v>
      </c>
      <c r="C5" t="s">
        <v>2331</v>
      </c>
      <c r="D5">
        <v>5697</v>
      </c>
      <c r="E5" t="s">
        <v>2201</v>
      </c>
      <c r="F5" t="s">
        <v>2036</v>
      </c>
      <c r="G5">
        <v>2021</v>
      </c>
      <c r="H5">
        <v>7</v>
      </c>
      <c r="I5" s="8">
        <v>44378</v>
      </c>
      <c r="J5">
        <v>7100</v>
      </c>
      <c r="K5">
        <v>5972.4</v>
      </c>
      <c r="L5">
        <v>2795076</v>
      </c>
      <c r="M5">
        <v>316921</v>
      </c>
      <c r="N5">
        <v>2733273</v>
      </c>
      <c r="O5">
        <v>316921</v>
      </c>
      <c r="P5">
        <v>61803</v>
      </c>
      <c r="Q5">
        <v>12.33</v>
      </c>
      <c r="R5">
        <v>23.94</v>
      </c>
      <c r="S5">
        <v>10.17</v>
      </c>
      <c r="T5">
        <v>273.57</v>
      </c>
      <c r="U5">
        <v>36837.129999999997</v>
      </c>
      <c r="V5">
        <v>0</v>
      </c>
      <c r="W5">
        <v>0</v>
      </c>
      <c r="X5">
        <v>1037982.91</v>
      </c>
      <c r="AA5" s="232">
        <f t="shared" si="0"/>
        <v>262171.26549000002</v>
      </c>
      <c r="AB5" s="232">
        <f t="shared" si="1"/>
        <v>834441.57257999992</v>
      </c>
    </row>
    <row r="6" spans="1:28">
      <c r="A6" t="s">
        <v>2335</v>
      </c>
      <c r="B6">
        <v>5372</v>
      </c>
      <c r="C6" t="s">
        <v>2331</v>
      </c>
      <c r="D6">
        <v>5697</v>
      </c>
      <c r="E6" t="s">
        <v>2201</v>
      </c>
      <c r="F6" t="s">
        <v>2036</v>
      </c>
      <c r="G6">
        <v>2021</v>
      </c>
      <c r="H6">
        <v>8</v>
      </c>
      <c r="I6" s="8">
        <v>44409</v>
      </c>
      <c r="J6">
        <v>7100</v>
      </c>
      <c r="K6">
        <v>5992.56</v>
      </c>
      <c r="L6">
        <v>2855700</v>
      </c>
      <c r="M6">
        <v>318878</v>
      </c>
      <c r="N6">
        <v>2792157</v>
      </c>
      <c r="O6">
        <v>318878</v>
      </c>
      <c r="P6">
        <v>63543</v>
      </c>
      <c r="Q6">
        <v>12.33</v>
      </c>
      <c r="R6">
        <v>23.94</v>
      </c>
      <c r="S6">
        <v>10.17</v>
      </c>
      <c r="T6">
        <v>273.57</v>
      </c>
      <c r="U6">
        <v>2009.49</v>
      </c>
      <c r="V6">
        <v>0</v>
      </c>
      <c r="W6">
        <v>0</v>
      </c>
      <c r="X6">
        <v>1116385.6499999999</v>
      </c>
      <c r="AA6" s="232">
        <f t="shared" si="0"/>
        <v>263290.34466</v>
      </c>
      <c r="AB6" s="232">
        <f t="shared" si="1"/>
        <v>851085.84494999994</v>
      </c>
    </row>
    <row r="7" spans="1:28">
      <c r="A7" t="s">
        <v>2336</v>
      </c>
      <c r="B7">
        <v>5372</v>
      </c>
      <c r="C7" t="s">
        <v>2331</v>
      </c>
      <c r="D7">
        <v>5697</v>
      </c>
      <c r="E7" t="s">
        <v>2201</v>
      </c>
      <c r="F7" t="s">
        <v>2036</v>
      </c>
      <c r="G7">
        <v>2021</v>
      </c>
      <c r="H7">
        <v>9</v>
      </c>
      <c r="I7" s="8">
        <v>44440</v>
      </c>
      <c r="J7">
        <v>7100</v>
      </c>
      <c r="K7">
        <v>6058.08</v>
      </c>
      <c r="L7">
        <v>2842999</v>
      </c>
      <c r="M7">
        <v>323100</v>
      </c>
      <c r="N7">
        <v>2776867</v>
      </c>
      <c r="O7">
        <v>323100</v>
      </c>
      <c r="P7">
        <v>66132</v>
      </c>
      <c r="Q7">
        <v>12.33</v>
      </c>
      <c r="R7">
        <v>23.94</v>
      </c>
      <c r="S7">
        <v>10.17</v>
      </c>
      <c r="T7">
        <v>273.57</v>
      </c>
      <c r="U7">
        <v>4469.2</v>
      </c>
      <c r="V7">
        <v>0</v>
      </c>
      <c r="W7">
        <v>0</v>
      </c>
      <c r="X7">
        <v>1117299.8</v>
      </c>
      <c r="AA7" s="232">
        <f t="shared" si="0"/>
        <v>264772.66203000001</v>
      </c>
      <c r="AB7" s="232">
        <f t="shared" si="1"/>
        <v>848057.97219</v>
      </c>
    </row>
    <row r="8" spans="1:28">
      <c r="A8" t="s">
        <v>2337</v>
      </c>
      <c r="B8">
        <v>5372</v>
      </c>
      <c r="C8" t="s">
        <v>2331</v>
      </c>
      <c r="D8">
        <v>5697</v>
      </c>
      <c r="E8" t="s">
        <v>2201</v>
      </c>
      <c r="F8" t="s">
        <v>2036</v>
      </c>
      <c r="G8">
        <v>2021</v>
      </c>
      <c r="H8">
        <v>10</v>
      </c>
      <c r="I8" s="8">
        <v>44470</v>
      </c>
      <c r="J8">
        <v>7100</v>
      </c>
      <c r="K8">
        <v>5962.32</v>
      </c>
      <c r="L8">
        <v>2728875</v>
      </c>
      <c r="M8">
        <v>308642</v>
      </c>
      <c r="N8">
        <v>2662758</v>
      </c>
      <c r="O8">
        <v>308642</v>
      </c>
      <c r="P8">
        <v>66117</v>
      </c>
      <c r="Q8">
        <v>12.31</v>
      </c>
      <c r="R8">
        <v>23.85</v>
      </c>
      <c r="S8">
        <v>10.31</v>
      </c>
      <c r="T8">
        <v>274.89</v>
      </c>
      <c r="U8">
        <v>28997.03</v>
      </c>
      <c r="V8">
        <v>0</v>
      </c>
      <c r="W8">
        <v>0</v>
      </c>
      <c r="X8">
        <v>1106756.8400000001</v>
      </c>
      <c r="AA8" s="232">
        <f t="shared" si="0"/>
        <v>260919.13227</v>
      </c>
      <c r="AB8" s="232">
        <f t="shared" si="1"/>
        <v>816808.14599999995</v>
      </c>
    </row>
    <row r="9" spans="1:28">
      <c r="A9" t="s">
        <v>2338</v>
      </c>
      <c r="B9">
        <v>5372</v>
      </c>
      <c r="C9" t="s">
        <v>2331</v>
      </c>
      <c r="D9">
        <v>5697</v>
      </c>
      <c r="E9" t="s">
        <v>2201</v>
      </c>
      <c r="F9" t="s">
        <v>2036</v>
      </c>
      <c r="G9">
        <v>2021</v>
      </c>
      <c r="H9">
        <v>12</v>
      </c>
      <c r="I9" s="8">
        <v>44531</v>
      </c>
      <c r="J9">
        <v>7267.68</v>
      </c>
      <c r="K9">
        <v>6612.48</v>
      </c>
      <c r="L9">
        <v>3012268</v>
      </c>
      <c r="M9">
        <v>315945</v>
      </c>
      <c r="N9">
        <v>2941983</v>
      </c>
      <c r="O9">
        <v>315945</v>
      </c>
      <c r="P9">
        <v>70285</v>
      </c>
      <c r="Q9">
        <v>11.83</v>
      </c>
      <c r="R9">
        <v>21.22</v>
      </c>
      <c r="S9">
        <v>14.37</v>
      </c>
      <c r="T9">
        <v>313.3</v>
      </c>
      <c r="U9">
        <v>51482.94</v>
      </c>
      <c r="V9">
        <v>0</v>
      </c>
      <c r="W9">
        <v>0</v>
      </c>
      <c r="X9">
        <v>1376549.3</v>
      </c>
      <c r="AA9" s="232">
        <f t="shared" si="0"/>
        <v>274119.90080999996</v>
      </c>
      <c r="AB9" s="232">
        <f t="shared" si="1"/>
        <v>1020708.8424</v>
      </c>
    </row>
    <row r="10" spans="1:28">
      <c r="A10" t="s">
        <v>2339</v>
      </c>
      <c r="B10">
        <v>5372</v>
      </c>
      <c r="C10" t="s">
        <v>2331</v>
      </c>
      <c r="D10">
        <v>5697</v>
      </c>
      <c r="E10" t="s">
        <v>2201</v>
      </c>
      <c r="F10" t="s">
        <v>2036</v>
      </c>
      <c r="G10">
        <v>2022</v>
      </c>
      <c r="H10">
        <v>1</v>
      </c>
      <c r="I10" s="8">
        <v>44562</v>
      </c>
      <c r="J10">
        <v>7257.6</v>
      </c>
      <c r="K10">
        <v>6637.68</v>
      </c>
      <c r="L10">
        <v>3185563</v>
      </c>
      <c r="M10">
        <v>363066</v>
      </c>
      <c r="N10">
        <v>3121473</v>
      </c>
      <c r="O10">
        <v>363066</v>
      </c>
      <c r="P10">
        <v>64090</v>
      </c>
      <c r="Q10">
        <v>11.83</v>
      </c>
      <c r="R10">
        <v>21.22</v>
      </c>
      <c r="S10">
        <v>14.37</v>
      </c>
      <c r="T10">
        <v>313.3</v>
      </c>
      <c r="U10">
        <v>54422.15</v>
      </c>
      <c r="V10">
        <v>0</v>
      </c>
      <c r="W10">
        <v>0</v>
      </c>
      <c r="X10">
        <v>1455138.09</v>
      </c>
      <c r="AA10" s="232">
        <f t="shared" si="0"/>
        <v>277702.77632999996</v>
      </c>
      <c r="AB10" s="232">
        <f t="shared" si="1"/>
        <v>1091706.0687000002</v>
      </c>
    </row>
    <row r="11" spans="1:28">
      <c r="A11" t="s">
        <v>2340</v>
      </c>
      <c r="B11">
        <v>5372</v>
      </c>
      <c r="C11" t="s">
        <v>2331</v>
      </c>
      <c r="D11">
        <v>5697</v>
      </c>
      <c r="E11" t="s">
        <v>2201</v>
      </c>
      <c r="F11" t="s">
        <v>2036</v>
      </c>
      <c r="G11">
        <v>2022</v>
      </c>
      <c r="H11">
        <v>1</v>
      </c>
      <c r="I11" s="8">
        <v>44562</v>
      </c>
      <c r="J11">
        <v>1200</v>
      </c>
      <c r="K11">
        <v>1000</v>
      </c>
      <c r="L11">
        <v>0</v>
      </c>
      <c r="M11">
        <v>0</v>
      </c>
      <c r="N11">
        <v>0</v>
      </c>
      <c r="O11">
        <v>0</v>
      </c>
      <c r="P11">
        <v>0</v>
      </c>
      <c r="Q11">
        <v>11.83</v>
      </c>
      <c r="R11">
        <v>21.22</v>
      </c>
      <c r="S11">
        <v>14.37</v>
      </c>
      <c r="T11">
        <v>313.3</v>
      </c>
      <c r="U11">
        <v>1376.02</v>
      </c>
      <c r="V11">
        <v>0</v>
      </c>
      <c r="W11">
        <v>0</v>
      </c>
      <c r="X11">
        <v>36792.019999999997</v>
      </c>
      <c r="AA11" s="232">
        <f t="shared" si="0"/>
        <v>35416</v>
      </c>
      <c r="AB11" s="232">
        <f t="shared" si="1"/>
        <v>0</v>
      </c>
    </row>
    <row r="12" spans="1:28">
      <c r="A12" t="s">
        <v>2341</v>
      </c>
      <c r="B12">
        <v>5372</v>
      </c>
      <c r="C12" t="s">
        <v>2331</v>
      </c>
      <c r="D12">
        <v>5697</v>
      </c>
      <c r="E12" t="s">
        <v>2201</v>
      </c>
      <c r="F12" t="s">
        <v>2036</v>
      </c>
      <c r="G12">
        <v>2022</v>
      </c>
      <c r="H12">
        <v>2</v>
      </c>
      <c r="I12" s="8">
        <v>44593</v>
      </c>
      <c r="J12">
        <v>7100</v>
      </c>
      <c r="K12">
        <v>6703.2</v>
      </c>
      <c r="L12">
        <v>3191838</v>
      </c>
      <c r="M12">
        <v>331024</v>
      </c>
      <c r="N12">
        <v>3140342</v>
      </c>
      <c r="O12">
        <v>331024</v>
      </c>
      <c r="P12">
        <v>51496</v>
      </c>
      <c r="Q12">
        <v>11.83</v>
      </c>
      <c r="R12">
        <v>21.22</v>
      </c>
      <c r="S12">
        <v>14.37</v>
      </c>
      <c r="T12">
        <v>313.3</v>
      </c>
      <c r="U12">
        <v>69434.48</v>
      </c>
      <c r="V12">
        <v>0</v>
      </c>
      <c r="W12">
        <v>0</v>
      </c>
      <c r="X12">
        <v>1467959.65</v>
      </c>
      <c r="AA12" s="232">
        <f t="shared" si="0"/>
        <v>276858.43093999999</v>
      </c>
      <c r="AB12" s="232">
        <f t="shared" si="1"/>
        <v>1087578.9678</v>
      </c>
    </row>
    <row r="13" spans="1:28">
      <c r="A13" t="s">
        <v>2342</v>
      </c>
      <c r="B13">
        <v>5372</v>
      </c>
      <c r="C13" t="s">
        <v>2331</v>
      </c>
      <c r="D13">
        <v>5697</v>
      </c>
      <c r="E13" t="s">
        <v>2201</v>
      </c>
      <c r="F13" t="s">
        <v>2036</v>
      </c>
      <c r="G13">
        <v>2022</v>
      </c>
      <c r="H13">
        <v>2</v>
      </c>
      <c r="I13" s="8">
        <v>44593</v>
      </c>
      <c r="J13">
        <v>1202.8800000000001</v>
      </c>
      <c r="K13">
        <v>1075.2</v>
      </c>
      <c r="L13">
        <v>247647</v>
      </c>
      <c r="M13">
        <v>29032</v>
      </c>
      <c r="N13">
        <v>247647</v>
      </c>
      <c r="O13">
        <v>29032</v>
      </c>
      <c r="P13">
        <v>0</v>
      </c>
      <c r="Q13">
        <v>11.83</v>
      </c>
      <c r="R13">
        <v>21.22</v>
      </c>
      <c r="S13">
        <v>14.37</v>
      </c>
      <c r="T13">
        <v>313.3</v>
      </c>
      <c r="U13">
        <v>6340.37</v>
      </c>
      <c r="V13">
        <v>0</v>
      </c>
      <c r="W13">
        <v>0</v>
      </c>
      <c r="X13">
        <v>134045.56</v>
      </c>
      <c r="AA13" s="232">
        <f t="shared" si="0"/>
        <v>41021.691630000001</v>
      </c>
      <c r="AB13" s="232">
        <f t="shared" si="1"/>
        <v>86683.530699999988</v>
      </c>
    </row>
    <row r="14" spans="1:28">
      <c r="A14" t="s">
        <v>2343</v>
      </c>
      <c r="B14">
        <v>5372</v>
      </c>
      <c r="C14" t="s">
        <v>2331</v>
      </c>
      <c r="D14">
        <v>5697</v>
      </c>
      <c r="E14" t="s">
        <v>2201</v>
      </c>
      <c r="F14" t="s">
        <v>2036</v>
      </c>
      <c r="G14">
        <v>2022</v>
      </c>
      <c r="H14">
        <v>3</v>
      </c>
      <c r="I14" s="8">
        <v>44621</v>
      </c>
      <c r="J14">
        <v>7736.4</v>
      </c>
      <c r="K14">
        <v>7509.6</v>
      </c>
      <c r="L14">
        <v>2956809</v>
      </c>
      <c r="M14">
        <v>320719</v>
      </c>
      <c r="N14">
        <v>86431</v>
      </c>
      <c r="O14">
        <v>0</v>
      </c>
      <c r="P14">
        <v>0</v>
      </c>
      <c r="Q14">
        <v>11.83</v>
      </c>
      <c r="R14">
        <v>21.22</v>
      </c>
      <c r="S14">
        <v>14.37</v>
      </c>
      <c r="T14">
        <v>313.3</v>
      </c>
      <c r="U14">
        <v>11581.44</v>
      </c>
      <c r="V14">
        <v>0</v>
      </c>
      <c r="W14">
        <v>0</v>
      </c>
      <c r="X14">
        <v>427398.74</v>
      </c>
      <c r="AA14" s="232">
        <f t="shared" si="0"/>
        <v>297973.40136000002</v>
      </c>
      <c r="AB14" s="232">
        <f t="shared" si="1"/>
        <v>27078.832300000002</v>
      </c>
    </row>
    <row r="15" spans="1:28">
      <c r="A15" t="s">
        <v>2344</v>
      </c>
      <c r="B15">
        <v>5372</v>
      </c>
      <c r="C15" t="s">
        <v>2331</v>
      </c>
      <c r="D15">
        <v>5697</v>
      </c>
      <c r="E15" t="s">
        <v>2201</v>
      </c>
      <c r="F15" t="s">
        <v>2036</v>
      </c>
      <c r="G15">
        <v>2022</v>
      </c>
      <c r="H15">
        <v>3</v>
      </c>
      <c r="I15" s="8">
        <v>44621</v>
      </c>
      <c r="J15">
        <v>2909.76</v>
      </c>
      <c r="K15">
        <v>2150.4</v>
      </c>
      <c r="L15">
        <v>468093</v>
      </c>
      <c r="M15">
        <v>46453</v>
      </c>
      <c r="N15">
        <v>13569</v>
      </c>
      <c r="O15">
        <v>0</v>
      </c>
      <c r="P15">
        <v>0</v>
      </c>
      <c r="Q15">
        <v>11.83</v>
      </c>
      <c r="R15">
        <v>21.22</v>
      </c>
      <c r="S15">
        <v>14.37</v>
      </c>
      <c r="T15">
        <v>313.3</v>
      </c>
      <c r="U15">
        <v>5328.26</v>
      </c>
      <c r="V15">
        <v>0</v>
      </c>
      <c r="W15">
        <v>0</v>
      </c>
      <c r="X15">
        <v>186303.26</v>
      </c>
      <c r="AA15" s="232">
        <f t="shared" si="0"/>
        <v>87447.974820000003</v>
      </c>
      <c r="AB15" s="232">
        <f t="shared" si="1"/>
        <v>4251.1677</v>
      </c>
    </row>
    <row r="16" spans="1:28">
      <c r="A16" t="s">
        <v>2345</v>
      </c>
      <c r="B16">
        <v>5372</v>
      </c>
      <c r="C16" t="s">
        <v>2331</v>
      </c>
      <c r="D16">
        <v>5697</v>
      </c>
      <c r="E16" t="s">
        <v>2201</v>
      </c>
      <c r="F16" t="s">
        <v>2036</v>
      </c>
      <c r="G16">
        <v>2022</v>
      </c>
      <c r="H16">
        <v>4</v>
      </c>
      <c r="I16" s="8">
        <v>44652</v>
      </c>
      <c r="J16">
        <v>7100</v>
      </c>
      <c r="K16">
        <v>5900</v>
      </c>
      <c r="L16">
        <v>2704905</v>
      </c>
      <c r="M16">
        <v>250419</v>
      </c>
      <c r="N16">
        <v>100000</v>
      </c>
      <c r="O16">
        <v>0</v>
      </c>
      <c r="P16">
        <v>0</v>
      </c>
      <c r="Q16">
        <v>11.83</v>
      </c>
      <c r="R16">
        <v>21.22</v>
      </c>
      <c r="S16">
        <v>14.37</v>
      </c>
      <c r="T16">
        <v>313.3</v>
      </c>
      <c r="U16">
        <v>9596.82</v>
      </c>
      <c r="V16">
        <v>0</v>
      </c>
      <c r="W16">
        <v>-25087.919999999998</v>
      </c>
      <c r="X16">
        <v>304781.86</v>
      </c>
      <c r="AA16" s="232">
        <f t="shared" si="0"/>
        <v>251659.00588000001</v>
      </c>
      <c r="AB16" s="232">
        <f t="shared" si="1"/>
        <v>31330</v>
      </c>
    </row>
    <row r="17" spans="1:28">
      <c r="A17" t="s">
        <v>2346</v>
      </c>
      <c r="B17">
        <v>5372</v>
      </c>
      <c r="C17" t="s">
        <v>2331</v>
      </c>
      <c r="D17">
        <v>5697</v>
      </c>
      <c r="E17" t="s">
        <v>2201</v>
      </c>
      <c r="F17" t="s">
        <v>2036</v>
      </c>
      <c r="G17">
        <v>2022</v>
      </c>
      <c r="H17">
        <v>4</v>
      </c>
      <c r="I17" s="8">
        <v>44652</v>
      </c>
      <c r="J17">
        <v>3500</v>
      </c>
      <c r="K17">
        <v>2849.28</v>
      </c>
      <c r="L17">
        <v>1631688</v>
      </c>
      <c r="M17">
        <v>123723</v>
      </c>
      <c r="N17">
        <v>0</v>
      </c>
      <c r="O17">
        <v>0</v>
      </c>
      <c r="P17">
        <v>0</v>
      </c>
      <c r="Q17">
        <v>11.83</v>
      </c>
      <c r="R17">
        <v>21.22</v>
      </c>
      <c r="S17">
        <v>14.37</v>
      </c>
      <c r="T17">
        <v>313.3</v>
      </c>
      <c r="U17">
        <v>4309.99</v>
      </c>
      <c r="V17">
        <v>0</v>
      </c>
      <c r="W17">
        <v>0</v>
      </c>
      <c r="X17">
        <v>131401.95000000001</v>
      </c>
      <c r="AA17" s="232">
        <f t="shared" si="0"/>
        <v>127091.97767000001</v>
      </c>
      <c r="AB17" s="232">
        <f t="shared" si="1"/>
        <v>0</v>
      </c>
    </row>
    <row r="18" spans="1:28">
      <c r="A18" t="s">
        <v>2347</v>
      </c>
      <c r="B18">
        <v>5372</v>
      </c>
      <c r="C18" t="s">
        <v>2331</v>
      </c>
      <c r="D18">
        <v>5697</v>
      </c>
      <c r="E18" t="s">
        <v>2201</v>
      </c>
      <c r="F18" t="s">
        <v>2036</v>
      </c>
      <c r="G18">
        <v>2022</v>
      </c>
      <c r="H18">
        <v>5</v>
      </c>
      <c r="I18" s="8">
        <v>44682</v>
      </c>
      <c r="J18">
        <v>7100</v>
      </c>
      <c r="K18">
        <v>5900</v>
      </c>
      <c r="L18">
        <v>2471505</v>
      </c>
      <c r="M18">
        <v>207204</v>
      </c>
      <c r="N18">
        <v>100000</v>
      </c>
      <c r="O18">
        <v>0</v>
      </c>
      <c r="P18">
        <v>0</v>
      </c>
      <c r="Q18">
        <v>11.83</v>
      </c>
      <c r="R18">
        <v>21.22</v>
      </c>
      <c r="S18">
        <v>14.37</v>
      </c>
      <c r="T18">
        <v>313.3</v>
      </c>
      <c r="U18">
        <v>6101.47</v>
      </c>
      <c r="V18">
        <v>0</v>
      </c>
      <c r="W18">
        <v>0</v>
      </c>
      <c r="X18">
        <v>285115.51</v>
      </c>
      <c r="AA18" s="232">
        <f t="shared" si="0"/>
        <v>247684.04832999999</v>
      </c>
      <c r="AB18" s="232">
        <f t="shared" si="1"/>
        <v>31330</v>
      </c>
    </row>
    <row r="19" spans="1:28">
      <c r="A19" t="s">
        <v>2348</v>
      </c>
      <c r="B19">
        <v>5372</v>
      </c>
      <c r="C19" t="s">
        <v>2331</v>
      </c>
      <c r="D19">
        <v>5697</v>
      </c>
      <c r="E19" t="s">
        <v>2201</v>
      </c>
      <c r="F19" t="s">
        <v>2036</v>
      </c>
      <c r="G19">
        <v>2022</v>
      </c>
      <c r="H19">
        <v>6</v>
      </c>
      <c r="I19" s="8">
        <v>44713</v>
      </c>
      <c r="J19">
        <v>3500</v>
      </c>
      <c r="K19">
        <v>2800</v>
      </c>
      <c r="L19">
        <v>1169488</v>
      </c>
      <c r="M19">
        <v>110898</v>
      </c>
      <c r="N19">
        <v>0</v>
      </c>
      <c r="O19">
        <v>0</v>
      </c>
      <c r="P19">
        <v>0</v>
      </c>
      <c r="Q19">
        <v>11.83</v>
      </c>
      <c r="R19">
        <v>21.22</v>
      </c>
      <c r="S19">
        <v>14.37</v>
      </c>
      <c r="T19">
        <v>313.3</v>
      </c>
      <c r="U19">
        <v>3877.58</v>
      </c>
      <c r="V19">
        <v>0</v>
      </c>
      <c r="W19">
        <v>0</v>
      </c>
      <c r="X19">
        <v>123097.72</v>
      </c>
      <c r="AA19" s="232">
        <f t="shared" si="0"/>
        <v>119220.14681999999</v>
      </c>
      <c r="AB19" s="232">
        <f t="shared" si="1"/>
        <v>0</v>
      </c>
    </row>
    <row r="20" spans="1:28">
      <c r="A20" t="s">
        <v>2349</v>
      </c>
      <c r="B20">
        <v>5372</v>
      </c>
      <c r="C20" t="s">
        <v>2331</v>
      </c>
      <c r="D20">
        <v>5697</v>
      </c>
      <c r="E20" t="s">
        <v>2201</v>
      </c>
      <c r="F20" t="s">
        <v>2036</v>
      </c>
      <c r="G20">
        <v>2022</v>
      </c>
      <c r="H20">
        <v>6</v>
      </c>
      <c r="I20" s="8">
        <v>44713</v>
      </c>
      <c r="J20">
        <v>7100</v>
      </c>
      <c r="K20">
        <v>5900</v>
      </c>
      <c r="L20">
        <v>2385003</v>
      </c>
      <c r="M20">
        <v>235402</v>
      </c>
      <c r="N20">
        <v>100000</v>
      </c>
      <c r="O20">
        <v>0</v>
      </c>
      <c r="P20">
        <v>0</v>
      </c>
      <c r="Q20">
        <v>11.83</v>
      </c>
      <c r="R20">
        <v>21.22</v>
      </c>
      <c r="S20">
        <v>14.37</v>
      </c>
      <c r="T20">
        <v>313.3</v>
      </c>
      <c r="U20">
        <v>9047.5400000000009</v>
      </c>
      <c r="V20">
        <v>0</v>
      </c>
      <c r="W20">
        <v>-8408.56</v>
      </c>
      <c r="X20">
        <v>278815.19</v>
      </c>
      <c r="AA20" s="232">
        <f t="shared" si="0"/>
        <v>246846.21984999999</v>
      </c>
      <c r="AB20" s="232">
        <f t="shared" si="1"/>
        <v>31330</v>
      </c>
    </row>
    <row r="21" spans="1:28">
      <c r="A21" t="s">
        <v>2350</v>
      </c>
      <c r="B21">
        <v>5372</v>
      </c>
      <c r="C21" t="s">
        <v>2331</v>
      </c>
      <c r="D21">
        <v>5697</v>
      </c>
      <c r="E21" t="s">
        <v>2201</v>
      </c>
      <c r="F21" t="s">
        <v>2036</v>
      </c>
      <c r="G21">
        <v>2022</v>
      </c>
      <c r="H21">
        <v>7</v>
      </c>
      <c r="I21" s="8">
        <v>44743</v>
      </c>
      <c r="J21">
        <v>3500</v>
      </c>
      <c r="K21">
        <v>2800</v>
      </c>
      <c r="L21">
        <v>1211978</v>
      </c>
      <c r="M21">
        <v>102474</v>
      </c>
      <c r="N21">
        <v>0</v>
      </c>
      <c r="O21">
        <v>0</v>
      </c>
      <c r="P21">
        <v>0</v>
      </c>
      <c r="Q21">
        <v>11.83</v>
      </c>
      <c r="R21">
        <v>21.22</v>
      </c>
      <c r="S21">
        <v>14.37</v>
      </c>
      <c r="T21">
        <v>313.3</v>
      </c>
      <c r="U21">
        <v>4922.99</v>
      </c>
      <c r="V21">
        <v>0</v>
      </c>
      <c r="W21">
        <v>0</v>
      </c>
      <c r="X21">
        <v>126693.18</v>
      </c>
      <c r="AA21" s="232">
        <f t="shared" si="0"/>
        <v>119709.67524</v>
      </c>
      <c r="AB21" s="232">
        <f t="shared" si="1"/>
        <v>0</v>
      </c>
    </row>
    <row r="22" spans="1:28">
      <c r="A22" t="s">
        <v>2351</v>
      </c>
      <c r="B22">
        <v>5372</v>
      </c>
      <c r="C22" t="s">
        <v>2331</v>
      </c>
      <c r="D22">
        <v>5697</v>
      </c>
      <c r="E22" t="s">
        <v>2201</v>
      </c>
      <c r="F22" t="s">
        <v>2036</v>
      </c>
      <c r="G22">
        <v>2022</v>
      </c>
      <c r="H22">
        <v>7</v>
      </c>
      <c r="I22" s="8">
        <v>44743</v>
      </c>
      <c r="J22">
        <v>5500</v>
      </c>
      <c r="K22">
        <v>5000</v>
      </c>
      <c r="L22">
        <v>2082462</v>
      </c>
      <c r="M22">
        <v>210775</v>
      </c>
      <c r="N22">
        <v>100000</v>
      </c>
      <c r="O22">
        <v>0</v>
      </c>
      <c r="P22">
        <v>0</v>
      </c>
      <c r="Q22">
        <v>11.83</v>
      </c>
      <c r="R22">
        <v>21.22</v>
      </c>
      <c r="S22">
        <v>14.37</v>
      </c>
      <c r="T22">
        <v>313.3</v>
      </c>
      <c r="U22">
        <v>9682.69</v>
      </c>
      <c r="V22">
        <v>0</v>
      </c>
      <c r="W22">
        <v>0</v>
      </c>
      <c r="X22">
        <v>249910.81</v>
      </c>
      <c r="AA22" s="232">
        <f t="shared" si="0"/>
        <v>204118.81568999999</v>
      </c>
      <c r="AB22" s="232">
        <f t="shared" si="1"/>
        <v>31330</v>
      </c>
    </row>
    <row r="23" spans="1:28">
      <c r="A23" t="s">
        <v>2412</v>
      </c>
      <c r="B23">
        <v>5372</v>
      </c>
      <c r="C23" t="s">
        <v>2331</v>
      </c>
      <c r="D23">
        <v>5697</v>
      </c>
      <c r="E23" t="s">
        <v>2201</v>
      </c>
      <c r="F23" t="s">
        <v>2036</v>
      </c>
      <c r="G23">
        <v>2022</v>
      </c>
      <c r="H23">
        <v>8</v>
      </c>
      <c r="I23" s="8">
        <v>44774</v>
      </c>
      <c r="J23">
        <v>3500</v>
      </c>
      <c r="K23">
        <v>2800</v>
      </c>
      <c r="L23">
        <v>1172492</v>
      </c>
      <c r="M23">
        <v>103729</v>
      </c>
      <c r="N23">
        <v>0</v>
      </c>
      <c r="O23">
        <v>0</v>
      </c>
      <c r="P23">
        <v>0</v>
      </c>
      <c r="Q23">
        <v>11.83</v>
      </c>
      <c r="R23">
        <v>21.22</v>
      </c>
      <c r="S23">
        <v>14.37</v>
      </c>
      <c r="T23">
        <v>313.3</v>
      </c>
      <c r="U23">
        <v>6284.8</v>
      </c>
      <c r="V23">
        <v>0</v>
      </c>
      <c r="W23">
        <v>0</v>
      </c>
      <c r="X23">
        <v>125445.09</v>
      </c>
      <c r="AA23" s="232">
        <f t="shared" si="0"/>
        <v>119160.29577</v>
      </c>
      <c r="AB23" s="232">
        <f t="shared" si="1"/>
        <v>0</v>
      </c>
    </row>
    <row r="24" spans="1:28">
      <c r="A24" t="s">
        <v>2413</v>
      </c>
      <c r="B24">
        <v>5372</v>
      </c>
      <c r="C24" t="s">
        <v>2331</v>
      </c>
      <c r="D24">
        <v>5697</v>
      </c>
      <c r="E24" t="s">
        <v>2201</v>
      </c>
      <c r="F24" t="s">
        <v>2036</v>
      </c>
      <c r="G24">
        <v>2022</v>
      </c>
      <c r="H24">
        <v>8</v>
      </c>
      <c r="I24" s="8">
        <v>44774</v>
      </c>
      <c r="J24">
        <v>5500</v>
      </c>
      <c r="K24">
        <v>5000</v>
      </c>
      <c r="L24">
        <v>2073173</v>
      </c>
      <c r="M24">
        <v>213241</v>
      </c>
      <c r="N24">
        <v>100000</v>
      </c>
      <c r="O24">
        <v>0</v>
      </c>
      <c r="P24">
        <v>0</v>
      </c>
      <c r="Q24">
        <v>11.83</v>
      </c>
      <c r="R24">
        <v>21.22</v>
      </c>
      <c r="S24">
        <v>14.37</v>
      </c>
      <c r="T24">
        <v>313.3</v>
      </c>
      <c r="U24">
        <v>12412.96</v>
      </c>
      <c r="V24">
        <v>0</v>
      </c>
      <c r="W24">
        <v>0</v>
      </c>
      <c r="X24">
        <v>247763.72</v>
      </c>
      <c r="AA24" s="232">
        <f t="shared" si="0"/>
        <v>204020.76918</v>
      </c>
      <c r="AB24" s="232">
        <f t="shared" si="1"/>
        <v>31330</v>
      </c>
    </row>
    <row r="25" spans="1:28">
      <c r="AA25" s="232">
        <f t="shared" si="0"/>
        <v>0</v>
      </c>
      <c r="AB25" s="232">
        <f t="shared" si="1"/>
        <v>0</v>
      </c>
    </row>
    <row r="26" spans="1:28">
      <c r="AA26" s="232">
        <f t="shared" si="0"/>
        <v>0</v>
      </c>
      <c r="AB26" s="232">
        <f t="shared" si="1"/>
        <v>0</v>
      </c>
    </row>
    <row r="27" spans="1:28">
      <c r="AA27" s="232">
        <f t="shared" si="0"/>
        <v>0</v>
      </c>
      <c r="AB27" s="232">
        <f t="shared" si="1"/>
        <v>0</v>
      </c>
    </row>
    <row r="28" spans="1:28">
      <c r="AA28" s="232">
        <f t="shared" si="0"/>
        <v>0</v>
      </c>
      <c r="AB28" s="232">
        <f t="shared" si="1"/>
        <v>0</v>
      </c>
    </row>
    <row r="29" spans="1:28">
      <c r="AA29" s="232">
        <f t="shared" si="0"/>
        <v>0</v>
      </c>
      <c r="AB29" s="232">
        <f t="shared" si="1"/>
        <v>0</v>
      </c>
    </row>
    <row r="30" spans="1:28">
      <c r="AA30" s="232">
        <f t="shared" si="0"/>
        <v>0</v>
      </c>
      <c r="AB30" s="232">
        <f t="shared" si="1"/>
        <v>0</v>
      </c>
    </row>
    <row r="31" spans="1:28">
      <c r="AA31" s="232">
        <f t="shared" si="0"/>
        <v>0</v>
      </c>
      <c r="AB31" s="232">
        <f t="shared" si="1"/>
        <v>0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345"/>
  <sheetViews>
    <sheetView topLeftCell="C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5372</v>
      </c>
      <c r="B2" t="s">
        <v>2331</v>
      </c>
      <c r="C2">
        <v>5697</v>
      </c>
      <c r="D2" t="s">
        <v>2201</v>
      </c>
      <c r="E2" t="s">
        <v>2036</v>
      </c>
      <c r="F2">
        <v>202111</v>
      </c>
      <c r="G2" t="s">
        <v>190</v>
      </c>
      <c r="H2">
        <v>2790425</v>
      </c>
      <c r="J2" s="723">
        <f>CAPA!K12</f>
        <v>5372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5372</v>
      </c>
      <c r="P2" t="s">
        <v>2331</v>
      </c>
      <c r="Q2">
        <v>5697</v>
      </c>
      <c r="R2" t="s">
        <v>2201</v>
      </c>
      <c r="S2" t="s">
        <v>2036</v>
      </c>
      <c r="T2">
        <v>202111</v>
      </c>
      <c r="U2" t="s">
        <v>190</v>
      </c>
      <c r="V2">
        <v>2790425</v>
      </c>
      <c r="X2">
        <v>5697</v>
      </c>
      <c r="Y2" t="s">
        <v>2201</v>
      </c>
      <c r="Z2" t="s">
        <v>2036</v>
      </c>
      <c r="AB2">
        <v>5697</v>
      </c>
      <c r="AC2" t="s">
        <v>2201</v>
      </c>
      <c r="AD2" t="s">
        <v>2036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5372</v>
      </c>
      <c r="B3" t="s">
        <v>2331</v>
      </c>
      <c r="C3">
        <v>5697</v>
      </c>
      <c r="D3" t="s">
        <v>2201</v>
      </c>
      <c r="E3" t="s">
        <v>2036</v>
      </c>
      <c r="F3">
        <v>202111</v>
      </c>
      <c r="G3" t="s">
        <v>191</v>
      </c>
      <c r="H3">
        <v>301237</v>
      </c>
      <c r="J3" s="723">
        <f>J2</f>
        <v>5372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5372</v>
      </c>
      <c r="P3" t="s">
        <v>2331</v>
      </c>
      <c r="Q3">
        <v>5697</v>
      </c>
      <c r="R3" t="s">
        <v>2201</v>
      </c>
      <c r="S3" t="s">
        <v>2036</v>
      </c>
      <c r="T3">
        <v>202111</v>
      </c>
      <c r="U3" t="s">
        <v>191</v>
      </c>
      <c r="V3">
        <v>301237</v>
      </c>
      <c r="AB3">
        <v>5697</v>
      </c>
      <c r="AC3" t="s">
        <v>2201</v>
      </c>
      <c r="AD3" t="s">
        <v>2036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5372</v>
      </c>
      <c r="B4" t="s">
        <v>2331</v>
      </c>
      <c r="C4">
        <v>5697</v>
      </c>
      <c r="D4" t="s">
        <v>2201</v>
      </c>
      <c r="E4" t="s">
        <v>2036</v>
      </c>
      <c r="F4">
        <v>202111</v>
      </c>
      <c r="G4" t="s">
        <v>176</v>
      </c>
      <c r="H4">
        <v>0</v>
      </c>
      <c r="J4" s="725">
        <f>J3</f>
        <v>5372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5372</v>
      </c>
      <c r="P4" t="s">
        <v>2331</v>
      </c>
      <c r="Q4">
        <v>5697</v>
      </c>
      <c r="R4" t="s">
        <v>2201</v>
      </c>
      <c r="S4" t="s">
        <v>2036</v>
      </c>
      <c r="T4">
        <v>202111</v>
      </c>
      <c r="U4" t="s">
        <v>178</v>
      </c>
      <c r="V4">
        <v>7100</v>
      </c>
      <c r="AB4">
        <v>5697</v>
      </c>
      <c r="AC4" t="s">
        <v>2201</v>
      </c>
      <c r="AD4" t="s">
        <v>2036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5372</v>
      </c>
      <c r="B5" t="s">
        <v>2331</v>
      </c>
      <c r="C5">
        <v>5697</v>
      </c>
      <c r="D5" t="s">
        <v>2201</v>
      </c>
      <c r="E5" t="s">
        <v>2036</v>
      </c>
      <c r="F5">
        <v>202111</v>
      </c>
      <c r="G5" t="s">
        <v>178</v>
      </c>
      <c r="H5">
        <v>7100</v>
      </c>
      <c r="J5" s="725">
        <f>J4</f>
        <v>5372</v>
      </c>
      <c r="K5" s="902" t="s">
        <v>183</v>
      </c>
      <c r="L5" s="724" t="str">
        <f>L3</f>
        <v>&gt;=202109</v>
      </c>
      <c r="M5" s="724" t="str">
        <f>M3</f>
        <v>&lt;=202208</v>
      </c>
      <c r="O5">
        <v>5372</v>
      </c>
      <c r="P5" t="s">
        <v>2331</v>
      </c>
      <c r="Q5">
        <v>5697</v>
      </c>
      <c r="R5" t="s">
        <v>2201</v>
      </c>
      <c r="S5" t="s">
        <v>2036</v>
      </c>
      <c r="T5">
        <v>202111</v>
      </c>
      <c r="U5" t="s">
        <v>180</v>
      </c>
      <c r="V5">
        <v>6294.96</v>
      </c>
      <c r="AB5">
        <v>5697</v>
      </c>
      <c r="AC5" t="s">
        <v>2201</v>
      </c>
      <c r="AD5" t="s">
        <v>2036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5372</v>
      </c>
      <c r="B6" t="s">
        <v>2331</v>
      </c>
      <c r="C6">
        <v>5697</v>
      </c>
      <c r="D6" t="s">
        <v>2201</v>
      </c>
      <c r="E6" t="s">
        <v>2036</v>
      </c>
      <c r="F6">
        <v>202111</v>
      </c>
      <c r="G6" t="s">
        <v>180</v>
      </c>
      <c r="H6">
        <v>6294.96</v>
      </c>
      <c r="J6" t="s">
        <v>185</v>
      </c>
      <c r="K6">
        <f>(YEAR(SAS_RA0_DataInicio)*100+MONTH(SAS_RA0_DataInicio))</f>
        <v>202109</v>
      </c>
      <c r="O6">
        <v>5372</v>
      </c>
      <c r="P6" t="s">
        <v>2331</v>
      </c>
      <c r="Q6">
        <v>5697</v>
      </c>
      <c r="R6" t="s">
        <v>2201</v>
      </c>
      <c r="S6" t="s">
        <v>2036</v>
      </c>
      <c r="T6">
        <v>202111</v>
      </c>
      <c r="U6" t="s">
        <v>182</v>
      </c>
      <c r="V6">
        <v>2860824</v>
      </c>
      <c r="AB6">
        <v>5697</v>
      </c>
      <c r="AC6" t="s">
        <v>2201</v>
      </c>
      <c r="AD6" t="s">
        <v>2036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5372</v>
      </c>
      <c r="B7" t="s">
        <v>2331</v>
      </c>
      <c r="C7">
        <v>5697</v>
      </c>
      <c r="D7" t="s">
        <v>2201</v>
      </c>
      <c r="E7" t="s">
        <v>2036</v>
      </c>
      <c r="F7">
        <v>202111</v>
      </c>
      <c r="G7" t="s">
        <v>182</v>
      </c>
      <c r="H7">
        <v>2860824</v>
      </c>
      <c r="J7" t="s">
        <v>187</v>
      </c>
      <c r="K7">
        <f>YEAR(SAS_RA0_DataFim)*100+MONTH(SAS_RA0_DataFim)</f>
        <v>202208</v>
      </c>
      <c r="O7">
        <v>5372</v>
      </c>
      <c r="P7" t="s">
        <v>2331</v>
      </c>
      <c r="Q7">
        <v>5697</v>
      </c>
      <c r="R7" t="s">
        <v>2201</v>
      </c>
      <c r="S7" t="s">
        <v>2036</v>
      </c>
      <c r="T7">
        <v>202111</v>
      </c>
      <c r="U7" t="s">
        <v>184</v>
      </c>
      <c r="V7">
        <v>301237</v>
      </c>
      <c r="AI7">
        <f t="shared" si="0"/>
        <v>0</v>
      </c>
      <c r="AJ7" t="str">
        <f t="shared" si="1"/>
        <v>Nada</v>
      </c>
    </row>
    <row r="8" spans="1:36">
      <c r="A8">
        <v>5372</v>
      </c>
      <c r="B8" t="s">
        <v>2331</v>
      </c>
      <c r="C8">
        <v>5697</v>
      </c>
      <c r="D8" t="s">
        <v>2201</v>
      </c>
      <c r="E8" t="s">
        <v>2036</v>
      </c>
      <c r="F8">
        <v>202111</v>
      </c>
      <c r="G8" t="s">
        <v>184</v>
      </c>
      <c r="H8">
        <v>301237</v>
      </c>
      <c r="J8" t="s">
        <v>188</v>
      </c>
      <c r="K8" s="631">
        <f>MAX(AI:AI)</f>
        <v>202208</v>
      </c>
      <c r="O8">
        <v>5372</v>
      </c>
      <c r="P8" t="s">
        <v>2331</v>
      </c>
      <c r="Q8">
        <v>5697</v>
      </c>
      <c r="R8" t="s">
        <v>2201</v>
      </c>
      <c r="S8" t="s">
        <v>2036</v>
      </c>
      <c r="T8">
        <v>202111</v>
      </c>
      <c r="U8" t="s">
        <v>186</v>
      </c>
      <c r="V8">
        <v>70399</v>
      </c>
      <c r="AI8">
        <f t="shared" si="0"/>
        <v>0</v>
      </c>
      <c r="AJ8" t="str">
        <f t="shared" si="1"/>
        <v>Nada</v>
      </c>
    </row>
    <row r="9" spans="1:36">
      <c r="A9">
        <v>5372</v>
      </c>
      <c r="B9" t="s">
        <v>2331</v>
      </c>
      <c r="C9">
        <v>5697</v>
      </c>
      <c r="D9" t="s">
        <v>2201</v>
      </c>
      <c r="E9" t="s">
        <v>2036</v>
      </c>
      <c r="F9">
        <v>202111</v>
      </c>
      <c r="G9" t="s">
        <v>192</v>
      </c>
      <c r="H9">
        <v>0</v>
      </c>
      <c r="J9" t="s">
        <v>189</v>
      </c>
      <c r="K9" s="631">
        <f>MAX(AJ:AJ)</f>
        <v>0</v>
      </c>
      <c r="O9">
        <v>5372</v>
      </c>
      <c r="P9" t="s">
        <v>2331</v>
      </c>
      <c r="Q9">
        <v>5697</v>
      </c>
      <c r="R9" t="s">
        <v>2201</v>
      </c>
      <c r="S9" t="s">
        <v>2036</v>
      </c>
      <c r="T9">
        <v>202205</v>
      </c>
      <c r="U9" t="s">
        <v>190</v>
      </c>
      <c r="V9">
        <v>0</v>
      </c>
    </row>
    <row r="10" spans="1:36">
      <c r="A10">
        <v>5372</v>
      </c>
      <c r="B10" t="s">
        <v>2331</v>
      </c>
      <c r="C10">
        <v>5697</v>
      </c>
      <c r="D10" t="s">
        <v>2201</v>
      </c>
      <c r="E10" t="s">
        <v>2036</v>
      </c>
      <c r="F10">
        <v>202111</v>
      </c>
      <c r="G10" t="s">
        <v>2170</v>
      </c>
      <c r="H10">
        <v>45332.1</v>
      </c>
      <c r="O10">
        <v>5372</v>
      </c>
      <c r="P10" t="s">
        <v>2331</v>
      </c>
      <c r="Q10">
        <v>5697</v>
      </c>
      <c r="R10" t="s">
        <v>2201</v>
      </c>
      <c r="S10" t="s">
        <v>2036</v>
      </c>
      <c r="T10">
        <v>202205</v>
      </c>
      <c r="U10" t="s">
        <v>191</v>
      </c>
      <c r="V10">
        <v>0</v>
      </c>
    </row>
    <row r="11" spans="1:36">
      <c r="A11">
        <v>5372</v>
      </c>
      <c r="B11" t="s">
        <v>2331</v>
      </c>
      <c r="C11">
        <v>5697</v>
      </c>
      <c r="D11" t="s">
        <v>2201</v>
      </c>
      <c r="E11" t="s">
        <v>2036</v>
      </c>
      <c r="F11">
        <v>202111</v>
      </c>
      <c r="G11" t="s">
        <v>186</v>
      </c>
      <c r="H11">
        <v>70399</v>
      </c>
      <c r="J11" s="782">
        <f>VALUE(A2)</f>
        <v>5372</v>
      </c>
      <c r="O11">
        <v>5372</v>
      </c>
      <c r="P11" t="s">
        <v>2331</v>
      </c>
      <c r="Q11">
        <v>5697</v>
      </c>
      <c r="R11" t="s">
        <v>2201</v>
      </c>
      <c r="S11" t="s">
        <v>2036</v>
      </c>
      <c r="T11">
        <v>202205</v>
      </c>
      <c r="U11" t="s">
        <v>178</v>
      </c>
      <c r="V11">
        <v>3500</v>
      </c>
    </row>
    <row r="12" spans="1:36">
      <c r="A12">
        <v>5372</v>
      </c>
      <c r="B12" t="s">
        <v>2331</v>
      </c>
      <c r="C12">
        <v>5697</v>
      </c>
      <c r="D12" t="s">
        <v>2201</v>
      </c>
      <c r="E12" t="s">
        <v>2036</v>
      </c>
      <c r="F12">
        <v>202111</v>
      </c>
      <c r="G12" t="s">
        <v>2169</v>
      </c>
      <c r="H12">
        <v>313.3</v>
      </c>
      <c r="K12" s="8"/>
      <c r="O12">
        <v>5372</v>
      </c>
      <c r="P12" t="s">
        <v>2331</v>
      </c>
      <c r="Q12">
        <v>5697</v>
      </c>
      <c r="R12" t="s">
        <v>2201</v>
      </c>
      <c r="S12" t="s">
        <v>2036</v>
      </c>
      <c r="T12">
        <v>202205</v>
      </c>
      <c r="U12" t="s">
        <v>180</v>
      </c>
      <c r="V12">
        <v>2800</v>
      </c>
    </row>
    <row r="13" spans="1:36">
      <c r="A13">
        <v>5372</v>
      </c>
      <c r="B13" t="s">
        <v>2331</v>
      </c>
      <c r="C13">
        <v>5697</v>
      </c>
      <c r="D13" t="s">
        <v>2201</v>
      </c>
      <c r="E13" t="s">
        <v>2036</v>
      </c>
      <c r="F13">
        <v>202111</v>
      </c>
      <c r="G13" t="s">
        <v>2166</v>
      </c>
      <c r="H13">
        <v>11.83</v>
      </c>
      <c r="O13">
        <v>5372</v>
      </c>
      <c r="P13" t="s">
        <v>2331</v>
      </c>
      <c r="Q13">
        <v>5697</v>
      </c>
      <c r="R13" t="s">
        <v>2201</v>
      </c>
      <c r="S13" t="s">
        <v>2036</v>
      </c>
      <c r="T13">
        <v>202205</v>
      </c>
      <c r="U13" t="s">
        <v>182</v>
      </c>
      <c r="V13">
        <v>1259346</v>
      </c>
    </row>
    <row r="14" spans="1:36">
      <c r="A14">
        <v>5372</v>
      </c>
      <c r="B14" t="s">
        <v>2331</v>
      </c>
      <c r="C14">
        <v>5697</v>
      </c>
      <c r="D14" t="s">
        <v>2201</v>
      </c>
      <c r="E14" t="s">
        <v>2036</v>
      </c>
      <c r="F14">
        <v>202111</v>
      </c>
      <c r="G14" t="s">
        <v>2167</v>
      </c>
      <c r="H14">
        <v>21.22</v>
      </c>
      <c r="O14">
        <v>5372</v>
      </c>
      <c r="P14" t="s">
        <v>2331</v>
      </c>
      <c r="Q14">
        <v>5697</v>
      </c>
      <c r="R14" t="s">
        <v>2201</v>
      </c>
      <c r="S14" t="s">
        <v>2036</v>
      </c>
      <c r="T14">
        <v>202205</v>
      </c>
      <c r="U14" t="s">
        <v>184</v>
      </c>
      <c r="V14">
        <v>100301</v>
      </c>
    </row>
    <row r="15" spans="1:36">
      <c r="A15">
        <v>5372</v>
      </c>
      <c r="B15" t="s">
        <v>2331</v>
      </c>
      <c r="C15">
        <v>5697</v>
      </c>
      <c r="D15" t="s">
        <v>2201</v>
      </c>
      <c r="E15" t="s">
        <v>2036</v>
      </c>
      <c r="F15">
        <v>202111</v>
      </c>
      <c r="G15" t="s">
        <v>2168</v>
      </c>
      <c r="H15">
        <v>14.37</v>
      </c>
      <c r="O15">
        <v>5372</v>
      </c>
      <c r="P15" t="s">
        <v>2331</v>
      </c>
      <c r="Q15">
        <v>5697</v>
      </c>
      <c r="R15" t="s">
        <v>2201</v>
      </c>
      <c r="S15" t="s">
        <v>2036</v>
      </c>
      <c r="T15">
        <v>202109</v>
      </c>
      <c r="U15" t="s">
        <v>190</v>
      </c>
      <c r="V15">
        <v>2776867</v>
      </c>
    </row>
    <row r="16" spans="1:36">
      <c r="A16">
        <v>5372</v>
      </c>
      <c r="B16" t="s">
        <v>2331</v>
      </c>
      <c r="C16">
        <v>5697</v>
      </c>
      <c r="D16" t="s">
        <v>2201</v>
      </c>
      <c r="E16" t="s">
        <v>2036</v>
      </c>
      <c r="F16">
        <v>202111</v>
      </c>
      <c r="G16" t="s">
        <v>2171</v>
      </c>
      <c r="H16">
        <v>1276960.6599999999</v>
      </c>
      <c r="O16">
        <v>5372</v>
      </c>
      <c r="P16" t="s">
        <v>2331</v>
      </c>
      <c r="Q16">
        <v>5697</v>
      </c>
      <c r="R16" t="s">
        <v>2201</v>
      </c>
      <c r="S16" t="s">
        <v>2036</v>
      </c>
      <c r="T16">
        <v>202109</v>
      </c>
      <c r="U16" t="s">
        <v>191</v>
      </c>
      <c r="V16">
        <v>323100</v>
      </c>
    </row>
    <row r="17" spans="1:22">
      <c r="A17">
        <v>5372</v>
      </c>
      <c r="B17" t="s">
        <v>2331</v>
      </c>
      <c r="C17">
        <v>5697</v>
      </c>
      <c r="D17" t="s">
        <v>2201</v>
      </c>
      <c r="E17" t="s">
        <v>2036</v>
      </c>
      <c r="F17">
        <v>202205</v>
      </c>
      <c r="G17" t="s">
        <v>190</v>
      </c>
      <c r="H17">
        <v>0</v>
      </c>
      <c r="O17">
        <v>5372</v>
      </c>
      <c r="P17" t="s">
        <v>2331</v>
      </c>
      <c r="Q17">
        <v>5697</v>
      </c>
      <c r="R17" t="s">
        <v>2201</v>
      </c>
      <c r="S17" t="s">
        <v>2036</v>
      </c>
      <c r="T17">
        <v>202109</v>
      </c>
      <c r="U17" t="s">
        <v>178</v>
      </c>
      <c r="V17">
        <v>7100</v>
      </c>
    </row>
    <row r="18" spans="1:22">
      <c r="A18">
        <v>5372</v>
      </c>
      <c r="B18" t="s">
        <v>2331</v>
      </c>
      <c r="C18">
        <v>5697</v>
      </c>
      <c r="D18" t="s">
        <v>2201</v>
      </c>
      <c r="E18" t="s">
        <v>2036</v>
      </c>
      <c r="F18">
        <v>202205</v>
      </c>
      <c r="G18" t="s">
        <v>191</v>
      </c>
      <c r="H18">
        <v>0</v>
      </c>
      <c r="O18">
        <v>5372</v>
      </c>
      <c r="P18" t="s">
        <v>2331</v>
      </c>
      <c r="Q18">
        <v>5697</v>
      </c>
      <c r="R18" t="s">
        <v>2201</v>
      </c>
      <c r="S18" t="s">
        <v>2036</v>
      </c>
      <c r="T18">
        <v>202109</v>
      </c>
      <c r="U18" t="s">
        <v>180</v>
      </c>
      <c r="V18">
        <v>6058.08</v>
      </c>
    </row>
    <row r="19" spans="1:22">
      <c r="A19">
        <v>5372</v>
      </c>
      <c r="B19" t="s">
        <v>2331</v>
      </c>
      <c r="C19">
        <v>5697</v>
      </c>
      <c r="D19" t="s">
        <v>2201</v>
      </c>
      <c r="E19" t="s">
        <v>2036</v>
      </c>
      <c r="F19">
        <v>202205</v>
      </c>
      <c r="G19" t="s">
        <v>176</v>
      </c>
      <c r="H19">
        <v>-3823.44</v>
      </c>
      <c r="O19">
        <v>5372</v>
      </c>
      <c r="P19" t="s">
        <v>2331</v>
      </c>
      <c r="Q19">
        <v>5697</v>
      </c>
      <c r="R19" t="s">
        <v>2201</v>
      </c>
      <c r="S19" t="s">
        <v>2036</v>
      </c>
      <c r="T19">
        <v>202109</v>
      </c>
      <c r="U19" t="s">
        <v>182</v>
      </c>
      <c r="V19">
        <v>2842999</v>
      </c>
    </row>
    <row r="20" spans="1:22">
      <c r="A20">
        <v>5372</v>
      </c>
      <c r="B20" t="s">
        <v>2331</v>
      </c>
      <c r="C20">
        <v>5697</v>
      </c>
      <c r="D20" t="s">
        <v>2201</v>
      </c>
      <c r="E20" t="s">
        <v>2036</v>
      </c>
      <c r="F20">
        <v>202205</v>
      </c>
      <c r="G20" t="s">
        <v>178</v>
      </c>
      <c r="H20">
        <v>3500</v>
      </c>
      <c r="O20">
        <v>5372</v>
      </c>
      <c r="P20" t="s">
        <v>2331</v>
      </c>
      <c r="Q20">
        <v>5697</v>
      </c>
      <c r="R20" t="s">
        <v>2201</v>
      </c>
      <c r="S20" t="s">
        <v>2036</v>
      </c>
      <c r="T20">
        <v>202109</v>
      </c>
      <c r="U20" t="s">
        <v>184</v>
      </c>
      <c r="V20">
        <v>323100</v>
      </c>
    </row>
    <row r="21" spans="1:22">
      <c r="A21">
        <v>5372</v>
      </c>
      <c r="B21" t="s">
        <v>2331</v>
      </c>
      <c r="C21">
        <v>5697</v>
      </c>
      <c r="D21" t="s">
        <v>2201</v>
      </c>
      <c r="E21" t="s">
        <v>2036</v>
      </c>
      <c r="F21">
        <v>202205</v>
      </c>
      <c r="G21" t="s">
        <v>180</v>
      </c>
      <c r="H21">
        <v>2800</v>
      </c>
      <c r="O21">
        <v>5372</v>
      </c>
      <c r="P21" t="s">
        <v>2331</v>
      </c>
      <c r="Q21">
        <v>5697</v>
      </c>
      <c r="R21" t="s">
        <v>2201</v>
      </c>
      <c r="S21" t="s">
        <v>2036</v>
      </c>
      <c r="T21">
        <v>202109</v>
      </c>
      <c r="U21" t="s">
        <v>186</v>
      </c>
      <c r="V21">
        <v>66132</v>
      </c>
    </row>
    <row r="22" spans="1:22">
      <c r="A22">
        <v>5372</v>
      </c>
      <c r="B22" t="s">
        <v>2331</v>
      </c>
      <c r="C22">
        <v>5697</v>
      </c>
      <c r="D22" t="s">
        <v>2201</v>
      </c>
      <c r="E22" t="s">
        <v>2036</v>
      </c>
      <c r="F22">
        <v>202205</v>
      </c>
      <c r="G22" t="s">
        <v>182</v>
      </c>
      <c r="H22">
        <v>1259346</v>
      </c>
      <c r="O22">
        <v>5372</v>
      </c>
      <c r="P22" t="s">
        <v>2331</v>
      </c>
      <c r="Q22">
        <v>5697</v>
      </c>
      <c r="R22" t="s">
        <v>2201</v>
      </c>
      <c r="S22" t="s">
        <v>2036</v>
      </c>
      <c r="T22">
        <v>202110</v>
      </c>
      <c r="U22" t="s">
        <v>190</v>
      </c>
      <c r="V22">
        <v>2662758</v>
      </c>
    </row>
    <row r="23" spans="1:22">
      <c r="A23">
        <v>5372</v>
      </c>
      <c r="B23" t="s">
        <v>2331</v>
      </c>
      <c r="C23">
        <v>5697</v>
      </c>
      <c r="D23" t="s">
        <v>2201</v>
      </c>
      <c r="E23" t="s">
        <v>2036</v>
      </c>
      <c r="F23">
        <v>202205</v>
      </c>
      <c r="G23" t="s">
        <v>184</v>
      </c>
      <c r="H23">
        <v>100301</v>
      </c>
      <c r="O23">
        <v>5372</v>
      </c>
      <c r="P23" t="s">
        <v>2331</v>
      </c>
      <c r="Q23">
        <v>5697</v>
      </c>
      <c r="R23" t="s">
        <v>2201</v>
      </c>
      <c r="S23" t="s">
        <v>2036</v>
      </c>
      <c r="T23">
        <v>202110</v>
      </c>
      <c r="U23" t="s">
        <v>191</v>
      </c>
      <c r="V23">
        <v>308642</v>
      </c>
    </row>
    <row r="24" spans="1:22">
      <c r="A24">
        <v>5372</v>
      </c>
      <c r="B24" t="s">
        <v>2331</v>
      </c>
      <c r="C24">
        <v>5697</v>
      </c>
      <c r="D24" t="s">
        <v>2201</v>
      </c>
      <c r="E24" t="s">
        <v>2036</v>
      </c>
      <c r="F24">
        <v>202205</v>
      </c>
      <c r="G24" t="s">
        <v>192</v>
      </c>
      <c r="H24">
        <v>0</v>
      </c>
      <c r="O24">
        <v>5372</v>
      </c>
      <c r="P24" t="s">
        <v>2331</v>
      </c>
      <c r="Q24">
        <v>5697</v>
      </c>
      <c r="R24" t="s">
        <v>2201</v>
      </c>
      <c r="S24" t="s">
        <v>2036</v>
      </c>
      <c r="T24">
        <v>202110</v>
      </c>
      <c r="U24" t="s">
        <v>178</v>
      </c>
      <c r="V24">
        <v>7100</v>
      </c>
    </row>
    <row r="25" spans="1:22">
      <c r="A25">
        <v>5372</v>
      </c>
      <c r="B25" t="s">
        <v>2331</v>
      </c>
      <c r="C25">
        <v>5697</v>
      </c>
      <c r="D25" t="s">
        <v>2201</v>
      </c>
      <c r="E25" t="s">
        <v>2036</v>
      </c>
      <c r="F25">
        <v>202205</v>
      </c>
      <c r="G25" t="s">
        <v>2170</v>
      </c>
      <c r="H25">
        <v>2632.01</v>
      </c>
      <c r="O25">
        <v>5372</v>
      </c>
      <c r="P25" t="s">
        <v>2331</v>
      </c>
      <c r="Q25">
        <v>5697</v>
      </c>
      <c r="R25" t="s">
        <v>2201</v>
      </c>
      <c r="S25" t="s">
        <v>2036</v>
      </c>
      <c r="T25">
        <v>202110</v>
      </c>
      <c r="U25" t="s">
        <v>180</v>
      </c>
      <c r="V25">
        <v>5962.32</v>
      </c>
    </row>
    <row r="26" spans="1:22">
      <c r="A26">
        <v>5372</v>
      </c>
      <c r="B26" t="s">
        <v>2331</v>
      </c>
      <c r="C26">
        <v>5697</v>
      </c>
      <c r="D26" t="s">
        <v>2201</v>
      </c>
      <c r="E26" t="s">
        <v>2036</v>
      </c>
      <c r="F26">
        <v>202205</v>
      </c>
      <c r="G26" t="s">
        <v>2169</v>
      </c>
      <c r="H26">
        <v>313.3</v>
      </c>
      <c r="O26">
        <v>5372</v>
      </c>
      <c r="P26" t="s">
        <v>2331</v>
      </c>
      <c r="Q26">
        <v>5697</v>
      </c>
      <c r="R26" t="s">
        <v>2201</v>
      </c>
      <c r="S26" t="s">
        <v>2036</v>
      </c>
      <c r="T26">
        <v>202110</v>
      </c>
      <c r="U26" t="s">
        <v>182</v>
      </c>
      <c r="V26">
        <v>2728875</v>
      </c>
    </row>
    <row r="27" spans="1:22">
      <c r="A27">
        <v>5372</v>
      </c>
      <c r="B27" t="s">
        <v>2331</v>
      </c>
      <c r="C27">
        <v>5697</v>
      </c>
      <c r="D27" t="s">
        <v>2201</v>
      </c>
      <c r="E27" t="s">
        <v>2036</v>
      </c>
      <c r="F27">
        <v>202205</v>
      </c>
      <c r="G27" t="s">
        <v>2166</v>
      </c>
      <c r="H27">
        <v>11.83</v>
      </c>
      <c r="O27">
        <v>5372</v>
      </c>
      <c r="P27" t="s">
        <v>2331</v>
      </c>
      <c r="Q27">
        <v>5697</v>
      </c>
      <c r="R27" t="s">
        <v>2201</v>
      </c>
      <c r="S27" t="s">
        <v>2036</v>
      </c>
      <c r="T27">
        <v>202110</v>
      </c>
      <c r="U27" t="s">
        <v>184</v>
      </c>
      <c r="V27">
        <v>308642</v>
      </c>
    </row>
    <row r="28" spans="1:22">
      <c r="A28">
        <v>5372</v>
      </c>
      <c r="B28" t="s">
        <v>2331</v>
      </c>
      <c r="C28">
        <v>5697</v>
      </c>
      <c r="D28" t="s">
        <v>2201</v>
      </c>
      <c r="E28" t="s">
        <v>2036</v>
      </c>
      <c r="F28">
        <v>202205</v>
      </c>
      <c r="G28" t="s">
        <v>2167</v>
      </c>
      <c r="H28">
        <v>21.22</v>
      </c>
      <c r="O28">
        <v>5372</v>
      </c>
      <c r="P28" t="s">
        <v>2331</v>
      </c>
      <c r="Q28">
        <v>5697</v>
      </c>
      <c r="R28" t="s">
        <v>2201</v>
      </c>
      <c r="S28" t="s">
        <v>2036</v>
      </c>
      <c r="T28">
        <v>202110</v>
      </c>
      <c r="U28" t="s">
        <v>186</v>
      </c>
      <c r="V28">
        <v>66117</v>
      </c>
    </row>
    <row r="29" spans="1:22">
      <c r="A29">
        <v>5372</v>
      </c>
      <c r="B29" t="s">
        <v>2331</v>
      </c>
      <c r="C29">
        <v>5697</v>
      </c>
      <c r="D29" t="s">
        <v>2201</v>
      </c>
      <c r="E29" t="s">
        <v>2036</v>
      </c>
      <c r="F29">
        <v>202205</v>
      </c>
      <c r="G29" t="s">
        <v>2168</v>
      </c>
      <c r="H29">
        <v>14.37</v>
      </c>
      <c r="O29">
        <v>5372</v>
      </c>
      <c r="P29" t="s">
        <v>2331</v>
      </c>
      <c r="Q29">
        <v>5697</v>
      </c>
      <c r="R29" t="s">
        <v>2201</v>
      </c>
      <c r="S29" t="s">
        <v>2036</v>
      </c>
      <c r="T29">
        <v>202112</v>
      </c>
      <c r="U29" t="s">
        <v>190</v>
      </c>
      <c r="V29">
        <v>2941983</v>
      </c>
    </row>
    <row r="30" spans="1:22">
      <c r="A30">
        <v>5372</v>
      </c>
      <c r="B30" t="s">
        <v>2331</v>
      </c>
      <c r="C30">
        <v>5697</v>
      </c>
      <c r="D30" t="s">
        <v>2201</v>
      </c>
      <c r="E30" t="s">
        <v>2036</v>
      </c>
      <c r="F30">
        <v>202205</v>
      </c>
      <c r="G30" t="s">
        <v>2171</v>
      </c>
      <c r="H30">
        <v>119167.69</v>
      </c>
      <c r="O30">
        <v>5372</v>
      </c>
      <c r="P30" t="s">
        <v>2331</v>
      </c>
      <c r="Q30">
        <v>5697</v>
      </c>
      <c r="R30" t="s">
        <v>2201</v>
      </c>
      <c r="S30" t="s">
        <v>2036</v>
      </c>
      <c r="T30">
        <v>202112</v>
      </c>
      <c r="U30" t="s">
        <v>191</v>
      </c>
      <c r="V30">
        <v>315945</v>
      </c>
    </row>
    <row r="31" spans="1:22">
      <c r="A31">
        <v>5372</v>
      </c>
      <c r="B31" t="s">
        <v>2331</v>
      </c>
      <c r="C31">
        <v>5697</v>
      </c>
      <c r="D31" t="s">
        <v>2201</v>
      </c>
      <c r="E31" t="s">
        <v>2036</v>
      </c>
      <c r="F31">
        <v>202106</v>
      </c>
      <c r="G31" t="s">
        <v>190</v>
      </c>
      <c r="H31">
        <v>2993930</v>
      </c>
      <c r="O31">
        <v>5372</v>
      </c>
      <c r="P31" t="s">
        <v>2331</v>
      </c>
      <c r="Q31">
        <v>5697</v>
      </c>
      <c r="R31" t="s">
        <v>2201</v>
      </c>
      <c r="S31" t="s">
        <v>2036</v>
      </c>
      <c r="T31">
        <v>202112</v>
      </c>
      <c r="U31" t="s">
        <v>178</v>
      </c>
      <c r="V31">
        <v>7267.68</v>
      </c>
    </row>
    <row r="32" spans="1:22">
      <c r="A32">
        <v>5372</v>
      </c>
      <c r="B32" t="s">
        <v>2331</v>
      </c>
      <c r="C32">
        <v>5697</v>
      </c>
      <c r="D32" t="s">
        <v>2201</v>
      </c>
      <c r="E32" t="s">
        <v>2036</v>
      </c>
      <c r="F32">
        <v>202106</v>
      </c>
      <c r="G32" t="s">
        <v>191</v>
      </c>
      <c r="H32">
        <v>307739</v>
      </c>
      <c r="O32">
        <v>5372</v>
      </c>
      <c r="P32" t="s">
        <v>2331</v>
      </c>
      <c r="Q32">
        <v>5697</v>
      </c>
      <c r="R32" t="s">
        <v>2201</v>
      </c>
      <c r="S32" t="s">
        <v>2036</v>
      </c>
      <c r="T32">
        <v>202112</v>
      </c>
      <c r="U32" t="s">
        <v>180</v>
      </c>
      <c r="V32">
        <v>6612.48</v>
      </c>
    </row>
    <row r="33" spans="1:22">
      <c r="A33">
        <v>5372</v>
      </c>
      <c r="B33" t="s">
        <v>2331</v>
      </c>
      <c r="C33">
        <v>5697</v>
      </c>
      <c r="D33" t="s">
        <v>2201</v>
      </c>
      <c r="E33" t="s">
        <v>2036</v>
      </c>
      <c r="F33">
        <v>202106</v>
      </c>
      <c r="G33" t="s">
        <v>176</v>
      </c>
      <c r="H33">
        <v>-20806.849999999999</v>
      </c>
      <c r="O33">
        <v>5372</v>
      </c>
      <c r="P33" t="s">
        <v>2331</v>
      </c>
      <c r="Q33">
        <v>5697</v>
      </c>
      <c r="R33" t="s">
        <v>2201</v>
      </c>
      <c r="S33" t="s">
        <v>2036</v>
      </c>
      <c r="T33">
        <v>202112</v>
      </c>
      <c r="U33" t="s">
        <v>182</v>
      </c>
      <c r="V33">
        <v>3012268</v>
      </c>
    </row>
    <row r="34" spans="1:22">
      <c r="A34">
        <v>5372</v>
      </c>
      <c r="B34" t="s">
        <v>2331</v>
      </c>
      <c r="C34">
        <v>5697</v>
      </c>
      <c r="D34" t="s">
        <v>2201</v>
      </c>
      <c r="E34" t="s">
        <v>2036</v>
      </c>
      <c r="F34">
        <v>202106</v>
      </c>
      <c r="G34" t="s">
        <v>178</v>
      </c>
      <c r="H34">
        <v>7100</v>
      </c>
      <c r="O34">
        <v>5372</v>
      </c>
      <c r="P34" t="s">
        <v>2331</v>
      </c>
      <c r="Q34">
        <v>5697</v>
      </c>
      <c r="R34" t="s">
        <v>2201</v>
      </c>
      <c r="S34" t="s">
        <v>2036</v>
      </c>
      <c r="T34">
        <v>202112</v>
      </c>
      <c r="U34" t="s">
        <v>184</v>
      </c>
      <c r="V34">
        <v>315945</v>
      </c>
    </row>
    <row r="35" spans="1:22">
      <c r="A35">
        <v>5372</v>
      </c>
      <c r="B35" t="s">
        <v>2331</v>
      </c>
      <c r="C35">
        <v>5697</v>
      </c>
      <c r="D35" t="s">
        <v>2201</v>
      </c>
      <c r="E35" t="s">
        <v>2036</v>
      </c>
      <c r="F35">
        <v>202106</v>
      </c>
      <c r="G35" t="s">
        <v>180</v>
      </c>
      <c r="H35">
        <v>5900</v>
      </c>
      <c r="O35">
        <v>5372</v>
      </c>
      <c r="P35" t="s">
        <v>2331</v>
      </c>
      <c r="Q35">
        <v>5697</v>
      </c>
      <c r="R35" t="s">
        <v>2201</v>
      </c>
      <c r="S35" t="s">
        <v>2036</v>
      </c>
      <c r="T35">
        <v>202112</v>
      </c>
      <c r="U35" t="s">
        <v>186</v>
      </c>
      <c r="V35">
        <v>70285</v>
      </c>
    </row>
    <row r="36" spans="1:22">
      <c r="A36">
        <v>5372</v>
      </c>
      <c r="B36" t="s">
        <v>2331</v>
      </c>
      <c r="C36">
        <v>5697</v>
      </c>
      <c r="D36" t="s">
        <v>2201</v>
      </c>
      <c r="E36" t="s">
        <v>2036</v>
      </c>
      <c r="F36">
        <v>202106</v>
      </c>
      <c r="G36" t="s">
        <v>182</v>
      </c>
      <c r="H36">
        <v>307739</v>
      </c>
      <c r="O36">
        <v>5372</v>
      </c>
      <c r="P36" t="s">
        <v>2331</v>
      </c>
      <c r="Q36">
        <v>5697</v>
      </c>
      <c r="R36" t="s">
        <v>2201</v>
      </c>
      <c r="S36" t="s">
        <v>2036</v>
      </c>
      <c r="T36">
        <v>202201</v>
      </c>
      <c r="U36" t="s">
        <v>190</v>
      </c>
      <c r="V36">
        <v>3121473</v>
      </c>
    </row>
    <row r="37" spans="1:22">
      <c r="A37">
        <v>5372</v>
      </c>
      <c r="B37" t="s">
        <v>2331</v>
      </c>
      <c r="C37">
        <v>5697</v>
      </c>
      <c r="D37" t="s">
        <v>2201</v>
      </c>
      <c r="E37" t="s">
        <v>2036</v>
      </c>
      <c r="F37">
        <v>202106</v>
      </c>
      <c r="G37" t="s">
        <v>184</v>
      </c>
      <c r="H37">
        <v>3057363</v>
      </c>
      <c r="O37">
        <v>5372</v>
      </c>
      <c r="P37" t="s">
        <v>2331</v>
      </c>
      <c r="Q37">
        <v>5697</v>
      </c>
      <c r="R37" t="s">
        <v>2201</v>
      </c>
      <c r="S37" t="s">
        <v>2036</v>
      </c>
      <c r="T37">
        <v>202201</v>
      </c>
      <c r="U37" t="s">
        <v>191</v>
      </c>
      <c r="V37">
        <v>363066</v>
      </c>
    </row>
    <row r="38" spans="1:22">
      <c r="A38">
        <v>5372</v>
      </c>
      <c r="B38" t="s">
        <v>2331</v>
      </c>
      <c r="C38">
        <v>5697</v>
      </c>
      <c r="D38" t="s">
        <v>2201</v>
      </c>
      <c r="E38" t="s">
        <v>2036</v>
      </c>
      <c r="F38">
        <v>202106</v>
      </c>
      <c r="G38" t="s">
        <v>192</v>
      </c>
      <c r="H38">
        <v>0</v>
      </c>
      <c r="O38">
        <v>5372</v>
      </c>
      <c r="P38" t="s">
        <v>2331</v>
      </c>
      <c r="Q38">
        <v>5697</v>
      </c>
      <c r="R38" t="s">
        <v>2201</v>
      </c>
      <c r="S38" t="s">
        <v>2036</v>
      </c>
      <c r="T38">
        <v>202201</v>
      </c>
      <c r="U38" t="s">
        <v>178</v>
      </c>
      <c r="V38">
        <v>7257.6</v>
      </c>
    </row>
    <row r="39" spans="1:22">
      <c r="A39">
        <v>5372</v>
      </c>
      <c r="B39" t="s">
        <v>2331</v>
      </c>
      <c r="C39">
        <v>5697</v>
      </c>
      <c r="D39" t="s">
        <v>2201</v>
      </c>
      <c r="E39" t="s">
        <v>2036</v>
      </c>
      <c r="F39">
        <v>202106</v>
      </c>
      <c r="G39" t="s">
        <v>2170</v>
      </c>
      <c r="H39">
        <v>77219.44</v>
      </c>
      <c r="O39">
        <v>5372</v>
      </c>
      <c r="P39" t="s">
        <v>2331</v>
      </c>
      <c r="Q39">
        <v>5697</v>
      </c>
      <c r="R39" t="s">
        <v>2201</v>
      </c>
      <c r="S39" t="s">
        <v>2036</v>
      </c>
      <c r="T39">
        <v>202201</v>
      </c>
      <c r="U39" t="s">
        <v>180</v>
      </c>
      <c r="V39">
        <v>6637.68</v>
      </c>
    </row>
    <row r="40" spans="1:22">
      <c r="A40">
        <v>5372</v>
      </c>
      <c r="B40" t="s">
        <v>2331</v>
      </c>
      <c r="C40">
        <v>5697</v>
      </c>
      <c r="D40" t="s">
        <v>2201</v>
      </c>
      <c r="E40" t="s">
        <v>2036</v>
      </c>
      <c r="F40">
        <v>202106</v>
      </c>
      <c r="G40" t="s">
        <v>186</v>
      </c>
      <c r="H40">
        <v>63433</v>
      </c>
      <c r="O40">
        <v>5372</v>
      </c>
      <c r="P40" t="s">
        <v>2331</v>
      </c>
      <c r="Q40">
        <v>5697</v>
      </c>
      <c r="R40" t="s">
        <v>2201</v>
      </c>
      <c r="S40" t="s">
        <v>2036</v>
      </c>
      <c r="T40">
        <v>202201</v>
      </c>
      <c r="U40" t="s">
        <v>182</v>
      </c>
      <c r="V40">
        <v>3185563</v>
      </c>
    </row>
    <row r="41" spans="1:22">
      <c r="A41">
        <v>5372</v>
      </c>
      <c r="B41" t="s">
        <v>2331</v>
      </c>
      <c r="C41">
        <v>5697</v>
      </c>
      <c r="D41" t="s">
        <v>2201</v>
      </c>
      <c r="E41" t="s">
        <v>2036</v>
      </c>
      <c r="F41">
        <v>202106</v>
      </c>
      <c r="G41" t="s">
        <v>2169</v>
      </c>
      <c r="H41">
        <v>273.57</v>
      </c>
      <c r="O41">
        <v>5372</v>
      </c>
      <c r="P41" t="s">
        <v>2331</v>
      </c>
      <c r="Q41">
        <v>5697</v>
      </c>
      <c r="R41" t="s">
        <v>2201</v>
      </c>
      <c r="S41" t="s">
        <v>2036</v>
      </c>
      <c r="T41">
        <v>202201</v>
      </c>
      <c r="U41" t="s">
        <v>184</v>
      </c>
      <c r="V41">
        <v>363066</v>
      </c>
    </row>
    <row r="42" spans="1:22">
      <c r="A42">
        <v>5372</v>
      </c>
      <c r="B42" t="s">
        <v>2331</v>
      </c>
      <c r="C42">
        <v>5697</v>
      </c>
      <c r="D42" t="s">
        <v>2201</v>
      </c>
      <c r="E42" t="s">
        <v>2036</v>
      </c>
      <c r="F42">
        <v>202106</v>
      </c>
      <c r="G42" t="s">
        <v>2166</v>
      </c>
      <c r="H42">
        <v>12.33</v>
      </c>
      <c r="O42">
        <v>5372</v>
      </c>
      <c r="P42" t="s">
        <v>2331</v>
      </c>
      <c r="Q42">
        <v>5697</v>
      </c>
      <c r="R42" t="s">
        <v>2201</v>
      </c>
      <c r="S42" t="s">
        <v>2036</v>
      </c>
      <c r="T42">
        <v>202201</v>
      </c>
      <c r="U42" t="s">
        <v>186</v>
      </c>
      <c r="V42">
        <v>64090</v>
      </c>
    </row>
    <row r="43" spans="1:22">
      <c r="A43">
        <v>5372</v>
      </c>
      <c r="B43" t="s">
        <v>2331</v>
      </c>
      <c r="C43">
        <v>5697</v>
      </c>
      <c r="D43" t="s">
        <v>2201</v>
      </c>
      <c r="E43" t="s">
        <v>2036</v>
      </c>
      <c r="F43">
        <v>202106</v>
      </c>
      <c r="G43" t="s">
        <v>2167</v>
      </c>
      <c r="H43">
        <v>23.94</v>
      </c>
      <c r="O43">
        <v>5372</v>
      </c>
      <c r="P43" t="s">
        <v>2331</v>
      </c>
      <c r="Q43">
        <v>5697</v>
      </c>
      <c r="R43" t="s">
        <v>2201</v>
      </c>
      <c r="S43" t="s">
        <v>2036</v>
      </c>
      <c r="T43">
        <v>202201</v>
      </c>
      <c r="U43" t="s">
        <v>190</v>
      </c>
      <c r="V43">
        <v>0</v>
      </c>
    </row>
    <row r="44" spans="1:22">
      <c r="A44">
        <v>5372</v>
      </c>
      <c r="B44" t="s">
        <v>2331</v>
      </c>
      <c r="C44">
        <v>5697</v>
      </c>
      <c r="D44" t="s">
        <v>2201</v>
      </c>
      <c r="E44" t="s">
        <v>2036</v>
      </c>
      <c r="F44">
        <v>202106</v>
      </c>
      <c r="G44" t="s">
        <v>2168</v>
      </c>
      <c r="H44">
        <v>10.17</v>
      </c>
      <c r="O44">
        <v>5372</v>
      </c>
      <c r="P44" t="s">
        <v>2331</v>
      </c>
      <c r="Q44">
        <v>5697</v>
      </c>
      <c r="R44" t="s">
        <v>2201</v>
      </c>
      <c r="S44" t="s">
        <v>2036</v>
      </c>
      <c r="T44">
        <v>202201</v>
      </c>
      <c r="U44" t="s">
        <v>191</v>
      </c>
      <c r="V44">
        <v>0</v>
      </c>
    </row>
    <row r="45" spans="1:22">
      <c r="A45">
        <v>5372</v>
      </c>
      <c r="B45" t="s">
        <v>2331</v>
      </c>
      <c r="C45">
        <v>5697</v>
      </c>
      <c r="D45" t="s">
        <v>2201</v>
      </c>
      <c r="E45" t="s">
        <v>2036</v>
      </c>
      <c r="F45">
        <v>202106</v>
      </c>
      <c r="G45" t="s">
        <v>2171</v>
      </c>
      <c r="H45">
        <v>1222662.25</v>
      </c>
      <c r="O45">
        <v>5372</v>
      </c>
      <c r="P45" t="s">
        <v>2331</v>
      </c>
      <c r="Q45">
        <v>5697</v>
      </c>
      <c r="R45" t="s">
        <v>2201</v>
      </c>
      <c r="S45" t="s">
        <v>2036</v>
      </c>
      <c r="T45">
        <v>202201</v>
      </c>
      <c r="U45" t="s">
        <v>178</v>
      </c>
      <c r="V45">
        <v>1200</v>
      </c>
    </row>
    <row r="46" spans="1:22">
      <c r="A46">
        <v>5372</v>
      </c>
      <c r="B46" t="s">
        <v>2331</v>
      </c>
      <c r="C46">
        <v>5697</v>
      </c>
      <c r="D46" t="s">
        <v>2201</v>
      </c>
      <c r="E46" t="s">
        <v>2036</v>
      </c>
      <c r="F46">
        <v>202107</v>
      </c>
      <c r="G46" t="s">
        <v>190</v>
      </c>
      <c r="H46">
        <v>2733273</v>
      </c>
      <c r="O46">
        <v>5372</v>
      </c>
      <c r="P46" t="s">
        <v>2331</v>
      </c>
      <c r="Q46">
        <v>5697</v>
      </c>
      <c r="R46" t="s">
        <v>2201</v>
      </c>
      <c r="S46" t="s">
        <v>2036</v>
      </c>
      <c r="T46">
        <v>202201</v>
      </c>
      <c r="U46" t="s">
        <v>180</v>
      </c>
      <c r="V46">
        <v>1000</v>
      </c>
    </row>
    <row r="47" spans="1:22">
      <c r="A47">
        <v>5372</v>
      </c>
      <c r="B47" t="s">
        <v>2331</v>
      </c>
      <c r="C47">
        <v>5697</v>
      </c>
      <c r="D47" t="s">
        <v>2201</v>
      </c>
      <c r="E47" t="s">
        <v>2036</v>
      </c>
      <c r="F47">
        <v>202107</v>
      </c>
      <c r="G47" t="s">
        <v>191</v>
      </c>
      <c r="H47">
        <v>316921</v>
      </c>
      <c r="O47">
        <v>5372</v>
      </c>
      <c r="P47" t="s">
        <v>2331</v>
      </c>
      <c r="Q47">
        <v>5697</v>
      </c>
      <c r="R47" t="s">
        <v>2201</v>
      </c>
      <c r="S47" t="s">
        <v>2036</v>
      </c>
      <c r="T47">
        <v>202201</v>
      </c>
      <c r="U47" t="s">
        <v>182</v>
      </c>
      <c r="V47">
        <v>0</v>
      </c>
    </row>
    <row r="48" spans="1:22">
      <c r="A48">
        <v>5372</v>
      </c>
      <c r="B48" t="s">
        <v>2331</v>
      </c>
      <c r="C48">
        <v>5697</v>
      </c>
      <c r="D48" t="s">
        <v>2201</v>
      </c>
      <c r="E48" t="s">
        <v>2036</v>
      </c>
      <c r="F48">
        <v>202107</v>
      </c>
      <c r="G48" t="s">
        <v>176</v>
      </c>
      <c r="H48">
        <v>0</v>
      </c>
      <c r="O48">
        <v>5372</v>
      </c>
      <c r="P48" t="s">
        <v>2331</v>
      </c>
      <c r="Q48">
        <v>5697</v>
      </c>
      <c r="R48" t="s">
        <v>2201</v>
      </c>
      <c r="S48" t="s">
        <v>2036</v>
      </c>
      <c r="T48">
        <v>202201</v>
      </c>
      <c r="U48" t="s">
        <v>184</v>
      </c>
      <c r="V48">
        <v>0</v>
      </c>
    </row>
    <row r="49" spans="1:22">
      <c r="A49">
        <v>5372</v>
      </c>
      <c r="B49" t="s">
        <v>2331</v>
      </c>
      <c r="C49">
        <v>5697</v>
      </c>
      <c r="D49" t="s">
        <v>2201</v>
      </c>
      <c r="E49" t="s">
        <v>2036</v>
      </c>
      <c r="F49">
        <v>202107</v>
      </c>
      <c r="G49" t="s">
        <v>178</v>
      </c>
      <c r="H49">
        <v>7100</v>
      </c>
      <c r="O49">
        <v>5372</v>
      </c>
      <c r="P49" t="s">
        <v>2331</v>
      </c>
      <c r="Q49">
        <v>5697</v>
      </c>
      <c r="R49" t="s">
        <v>2201</v>
      </c>
      <c r="S49" t="s">
        <v>2036</v>
      </c>
      <c r="T49">
        <v>202201</v>
      </c>
      <c r="U49" t="s">
        <v>186</v>
      </c>
      <c r="V49">
        <v>0</v>
      </c>
    </row>
    <row r="50" spans="1:22">
      <c r="A50">
        <v>5372</v>
      </c>
      <c r="B50" t="s">
        <v>2331</v>
      </c>
      <c r="C50">
        <v>5697</v>
      </c>
      <c r="D50" t="s">
        <v>2201</v>
      </c>
      <c r="E50" t="s">
        <v>2036</v>
      </c>
      <c r="F50">
        <v>202107</v>
      </c>
      <c r="G50" t="s">
        <v>180</v>
      </c>
      <c r="H50">
        <v>5972.4</v>
      </c>
      <c r="O50">
        <v>5372</v>
      </c>
      <c r="P50" t="s">
        <v>2331</v>
      </c>
      <c r="Q50">
        <v>5697</v>
      </c>
      <c r="R50" t="s">
        <v>2201</v>
      </c>
      <c r="S50" t="s">
        <v>2036</v>
      </c>
      <c r="T50">
        <v>202202</v>
      </c>
      <c r="U50" t="s">
        <v>190</v>
      </c>
      <c r="V50">
        <v>3140342</v>
      </c>
    </row>
    <row r="51" spans="1:22">
      <c r="A51">
        <v>5372</v>
      </c>
      <c r="B51" t="s">
        <v>2331</v>
      </c>
      <c r="C51">
        <v>5697</v>
      </c>
      <c r="D51" t="s">
        <v>2201</v>
      </c>
      <c r="E51" t="s">
        <v>2036</v>
      </c>
      <c r="F51">
        <v>202107</v>
      </c>
      <c r="G51" t="s">
        <v>182</v>
      </c>
      <c r="H51">
        <v>2795076</v>
      </c>
      <c r="O51">
        <v>5372</v>
      </c>
      <c r="P51" t="s">
        <v>2331</v>
      </c>
      <c r="Q51">
        <v>5697</v>
      </c>
      <c r="R51" t="s">
        <v>2201</v>
      </c>
      <c r="S51" t="s">
        <v>2036</v>
      </c>
      <c r="T51">
        <v>202202</v>
      </c>
      <c r="U51" t="s">
        <v>191</v>
      </c>
      <c r="V51">
        <v>331024</v>
      </c>
    </row>
    <row r="52" spans="1:22">
      <c r="A52">
        <v>5372</v>
      </c>
      <c r="B52" t="s">
        <v>2331</v>
      </c>
      <c r="C52">
        <v>5697</v>
      </c>
      <c r="D52" t="s">
        <v>2201</v>
      </c>
      <c r="E52" t="s">
        <v>2036</v>
      </c>
      <c r="F52">
        <v>202107</v>
      </c>
      <c r="G52" t="s">
        <v>184</v>
      </c>
      <c r="H52">
        <v>316921</v>
      </c>
      <c r="O52">
        <v>5372</v>
      </c>
      <c r="P52" t="s">
        <v>2331</v>
      </c>
      <c r="Q52">
        <v>5697</v>
      </c>
      <c r="R52" t="s">
        <v>2201</v>
      </c>
      <c r="S52" t="s">
        <v>2036</v>
      </c>
      <c r="T52">
        <v>202202</v>
      </c>
      <c r="U52" t="s">
        <v>178</v>
      </c>
      <c r="V52">
        <v>7100</v>
      </c>
    </row>
    <row r="53" spans="1:22">
      <c r="A53">
        <v>5372</v>
      </c>
      <c r="B53" t="s">
        <v>2331</v>
      </c>
      <c r="C53">
        <v>5697</v>
      </c>
      <c r="D53" t="s">
        <v>2201</v>
      </c>
      <c r="E53" t="s">
        <v>2036</v>
      </c>
      <c r="F53">
        <v>202107</v>
      </c>
      <c r="G53" t="s">
        <v>192</v>
      </c>
      <c r="H53">
        <v>0</v>
      </c>
      <c r="O53">
        <v>5372</v>
      </c>
      <c r="P53" t="s">
        <v>2331</v>
      </c>
      <c r="Q53">
        <v>5697</v>
      </c>
      <c r="R53" t="s">
        <v>2201</v>
      </c>
      <c r="S53" t="s">
        <v>2036</v>
      </c>
      <c r="T53">
        <v>202202</v>
      </c>
      <c r="U53" t="s">
        <v>180</v>
      </c>
      <c r="V53">
        <v>6703.2</v>
      </c>
    </row>
    <row r="54" spans="1:22">
      <c r="A54">
        <v>5372</v>
      </c>
      <c r="B54" t="s">
        <v>2331</v>
      </c>
      <c r="C54">
        <v>5697</v>
      </c>
      <c r="D54" t="s">
        <v>2201</v>
      </c>
      <c r="E54" t="s">
        <v>2036</v>
      </c>
      <c r="F54">
        <v>202107</v>
      </c>
      <c r="G54" t="s">
        <v>2170</v>
      </c>
      <c r="H54">
        <v>36837.129999999997</v>
      </c>
      <c r="O54">
        <v>5372</v>
      </c>
      <c r="P54" t="s">
        <v>2331</v>
      </c>
      <c r="Q54">
        <v>5697</v>
      </c>
      <c r="R54" t="s">
        <v>2201</v>
      </c>
      <c r="S54" t="s">
        <v>2036</v>
      </c>
      <c r="T54">
        <v>202202</v>
      </c>
      <c r="U54" t="s">
        <v>182</v>
      </c>
      <c r="V54">
        <v>3191838</v>
      </c>
    </row>
    <row r="55" spans="1:22">
      <c r="A55">
        <v>5372</v>
      </c>
      <c r="B55" t="s">
        <v>2331</v>
      </c>
      <c r="C55">
        <v>5697</v>
      </c>
      <c r="D55" t="s">
        <v>2201</v>
      </c>
      <c r="E55" t="s">
        <v>2036</v>
      </c>
      <c r="F55">
        <v>202107</v>
      </c>
      <c r="G55" t="s">
        <v>186</v>
      </c>
      <c r="H55">
        <v>61803</v>
      </c>
      <c r="O55">
        <v>5372</v>
      </c>
      <c r="P55" t="s">
        <v>2331</v>
      </c>
      <c r="Q55">
        <v>5697</v>
      </c>
      <c r="R55" t="s">
        <v>2201</v>
      </c>
      <c r="S55" t="s">
        <v>2036</v>
      </c>
      <c r="T55">
        <v>202202</v>
      </c>
      <c r="U55" t="s">
        <v>184</v>
      </c>
      <c r="V55">
        <v>331024</v>
      </c>
    </row>
    <row r="56" spans="1:22">
      <c r="A56">
        <v>5372</v>
      </c>
      <c r="B56" t="s">
        <v>2331</v>
      </c>
      <c r="C56">
        <v>5697</v>
      </c>
      <c r="D56" t="s">
        <v>2201</v>
      </c>
      <c r="E56" t="s">
        <v>2036</v>
      </c>
      <c r="F56">
        <v>202107</v>
      </c>
      <c r="G56" t="s">
        <v>2169</v>
      </c>
      <c r="H56">
        <v>273.57</v>
      </c>
      <c r="O56">
        <v>5372</v>
      </c>
      <c r="P56" t="s">
        <v>2331</v>
      </c>
      <c r="Q56">
        <v>5697</v>
      </c>
      <c r="R56" t="s">
        <v>2201</v>
      </c>
      <c r="S56" t="s">
        <v>2036</v>
      </c>
      <c r="T56">
        <v>202202</v>
      </c>
      <c r="U56" t="s">
        <v>186</v>
      </c>
      <c r="V56">
        <v>51496</v>
      </c>
    </row>
    <row r="57" spans="1:22">
      <c r="A57">
        <v>5372</v>
      </c>
      <c r="B57" t="s">
        <v>2331</v>
      </c>
      <c r="C57">
        <v>5697</v>
      </c>
      <c r="D57" t="s">
        <v>2201</v>
      </c>
      <c r="E57" t="s">
        <v>2036</v>
      </c>
      <c r="F57">
        <v>202107</v>
      </c>
      <c r="G57" t="s">
        <v>2166</v>
      </c>
      <c r="H57">
        <v>12.33</v>
      </c>
      <c r="O57">
        <v>5372</v>
      </c>
      <c r="P57" t="s">
        <v>2331</v>
      </c>
      <c r="Q57">
        <v>5697</v>
      </c>
      <c r="R57" t="s">
        <v>2201</v>
      </c>
      <c r="S57" t="s">
        <v>2036</v>
      </c>
      <c r="T57">
        <v>202202</v>
      </c>
      <c r="U57" t="s">
        <v>190</v>
      </c>
      <c r="V57">
        <v>247647</v>
      </c>
    </row>
    <row r="58" spans="1:22">
      <c r="A58">
        <v>5372</v>
      </c>
      <c r="B58" t="s">
        <v>2331</v>
      </c>
      <c r="C58">
        <v>5697</v>
      </c>
      <c r="D58" t="s">
        <v>2201</v>
      </c>
      <c r="E58" t="s">
        <v>2036</v>
      </c>
      <c r="F58">
        <v>202107</v>
      </c>
      <c r="G58" t="s">
        <v>2167</v>
      </c>
      <c r="H58">
        <v>23.94</v>
      </c>
      <c r="O58">
        <v>5372</v>
      </c>
      <c r="P58" t="s">
        <v>2331</v>
      </c>
      <c r="Q58">
        <v>5697</v>
      </c>
      <c r="R58" t="s">
        <v>2201</v>
      </c>
      <c r="S58" t="s">
        <v>2036</v>
      </c>
      <c r="T58">
        <v>202202</v>
      </c>
      <c r="U58" t="s">
        <v>191</v>
      </c>
      <c r="V58">
        <v>29032</v>
      </c>
    </row>
    <row r="59" spans="1:22">
      <c r="A59">
        <v>5372</v>
      </c>
      <c r="B59" t="s">
        <v>2331</v>
      </c>
      <c r="C59">
        <v>5697</v>
      </c>
      <c r="D59" t="s">
        <v>2201</v>
      </c>
      <c r="E59" t="s">
        <v>2036</v>
      </c>
      <c r="F59">
        <v>202107</v>
      </c>
      <c r="G59" t="s">
        <v>2168</v>
      </c>
      <c r="H59">
        <v>10.17</v>
      </c>
      <c r="O59">
        <v>5372</v>
      </c>
      <c r="P59" t="s">
        <v>2331</v>
      </c>
      <c r="Q59">
        <v>5697</v>
      </c>
      <c r="R59" t="s">
        <v>2201</v>
      </c>
      <c r="S59" t="s">
        <v>2036</v>
      </c>
      <c r="T59">
        <v>202202</v>
      </c>
      <c r="U59" t="s">
        <v>178</v>
      </c>
      <c r="V59">
        <v>1202.8800000000001</v>
      </c>
    </row>
    <row r="60" spans="1:22">
      <c r="A60">
        <v>5372</v>
      </c>
      <c r="B60" t="s">
        <v>2331</v>
      </c>
      <c r="C60">
        <v>5697</v>
      </c>
      <c r="D60" t="s">
        <v>2201</v>
      </c>
      <c r="E60" t="s">
        <v>2036</v>
      </c>
      <c r="F60">
        <v>202107</v>
      </c>
      <c r="G60" t="s">
        <v>2171</v>
      </c>
      <c r="H60">
        <v>1037982.91</v>
      </c>
      <c r="O60">
        <v>5372</v>
      </c>
      <c r="P60" t="s">
        <v>2331</v>
      </c>
      <c r="Q60">
        <v>5697</v>
      </c>
      <c r="R60" t="s">
        <v>2201</v>
      </c>
      <c r="S60" t="s">
        <v>2036</v>
      </c>
      <c r="T60">
        <v>202202</v>
      </c>
      <c r="U60" t="s">
        <v>180</v>
      </c>
      <c r="V60">
        <v>1075.2</v>
      </c>
    </row>
    <row r="61" spans="1:22">
      <c r="A61">
        <v>5372</v>
      </c>
      <c r="B61" t="s">
        <v>2331</v>
      </c>
      <c r="C61">
        <v>5697</v>
      </c>
      <c r="D61" t="s">
        <v>2201</v>
      </c>
      <c r="E61" t="s">
        <v>2036</v>
      </c>
      <c r="F61">
        <v>202108</v>
      </c>
      <c r="G61" t="s">
        <v>190</v>
      </c>
      <c r="H61">
        <v>2792157</v>
      </c>
      <c r="O61">
        <v>5372</v>
      </c>
      <c r="P61" t="s">
        <v>2331</v>
      </c>
      <c r="Q61">
        <v>5697</v>
      </c>
      <c r="R61" t="s">
        <v>2201</v>
      </c>
      <c r="S61" t="s">
        <v>2036</v>
      </c>
      <c r="T61">
        <v>202202</v>
      </c>
      <c r="U61" t="s">
        <v>182</v>
      </c>
      <c r="V61">
        <v>247647</v>
      </c>
    </row>
    <row r="62" spans="1:22">
      <c r="A62">
        <v>5372</v>
      </c>
      <c r="B62" t="s">
        <v>2331</v>
      </c>
      <c r="C62">
        <v>5697</v>
      </c>
      <c r="D62" t="s">
        <v>2201</v>
      </c>
      <c r="E62" t="s">
        <v>2036</v>
      </c>
      <c r="F62">
        <v>202108</v>
      </c>
      <c r="G62" t="s">
        <v>191</v>
      </c>
      <c r="H62">
        <v>318878</v>
      </c>
      <c r="O62">
        <v>5372</v>
      </c>
      <c r="P62" t="s">
        <v>2331</v>
      </c>
      <c r="Q62">
        <v>5697</v>
      </c>
      <c r="R62" t="s">
        <v>2201</v>
      </c>
      <c r="S62" t="s">
        <v>2036</v>
      </c>
      <c r="T62">
        <v>202202</v>
      </c>
      <c r="U62" t="s">
        <v>184</v>
      </c>
      <c r="V62">
        <v>29032</v>
      </c>
    </row>
    <row r="63" spans="1:22">
      <c r="A63">
        <v>5372</v>
      </c>
      <c r="B63" t="s">
        <v>2331</v>
      </c>
      <c r="C63">
        <v>5697</v>
      </c>
      <c r="D63" t="s">
        <v>2201</v>
      </c>
      <c r="E63" t="s">
        <v>2036</v>
      </c>
      <c r="F63">
        <v>202108</v>
      </c>
      <c r="G63" t="s">
        <v>176</v>
      </c>
      <c r="H63">
        <v>0</v>
      </c>
      <c r="O63">
        <v>5372</v>
      </c>
      <c r="P63" t="s">
        <v>2331</v>
      </c>
      <c r="Q63">
        <v>5697</v>
      </c>
      <c r="R63" t="s">
        <v>2201</v>
      </c>
      <c r="S63" t="s">
        <v>2036</v>
      </c>
      <c r="T63">
        <v>202202</v>
      </c>
      <c r="U63" t="s">
        <v>186</v>
      </c>
      <c r="V63">
        <v>0</v>
      </c>
    </row>
    <row r="64" spans="1:22">
      <c r="A64">
        <v>5372</v>
      </c>
      <c r="B64" t="s">
        <v>2331</v>
      </c>
      <c r="C64">
        <v>5697</v>
      </c>
      <c r="D64" t="s">
        <v>2201</v>
      </c>
      <c r="E64" t="s">
        <v>2036</v>
      </c>
      <c r="F64">
        <v>202108</v>
      </c>
      <c r="G64" t="s">
        <v>178</v>
      </c>
      <c r="H64">
        <v>7100</v>
      </c>
      <c r="O64">
        <v>5372</v>
      </c>
      <c r="P64" t="s">
        <v>2331</v>
      </c>
      <c r="Q64">
        <v>5697</v>
      </c>
      <c r="R64" t="s">
        <v>2201</v>
      </c>
      <c r="S64" t="s">
        <v>2036</v>
      </c>
      <c r="T64">
        <v>202203</v>
      </c>
      <c r="U64" t="s">
        <v>190</v>
      </c>
      <c r="V64">
        <v>86431</v>
      </c>
    </row>
    <row r="65" spans="1:22">
      <c r="A65">
        <v>5372</v>
      </c>
      <c r="B65" t="s">
        <v>2331</v>
      </c>
      <c r="C65">
        <v>5697</v>
      </c>
      <c r="D65" t="s">
        <v>2201</v>
      </c>
      <c r="E65" t="s">
        <v>2036</v>
      </c>
      <c r="F65">
        <v>202108</v>
      </c>
      <c r="G65" t="s">
        <v>180</v>
      </c>
      <c r="H65">
        <v>5992.56</v>
      </c>
      <c r="O65">
        <v>5372</v>
      </c>
      <c r="P65" t="s">
        <v>2331</v>
      </c>
      <c r="Q65">
        <v>5697</v>
      </c>
      <c r="R65" t="s">
        <v>2201</v>
      </c>
      <c r="S65" t="s">
        <v>2036</v>
      </c>
      <c r="T65">
        <v>202203</v>
      </c>
      <c r="U65" t="s">
        <v>191</v>
      </c>
      <c r="V65">
        <v>0</v>
      </c>
    </row>
    <row r="66" spans="1:22">
      <c r="A66">
        <v>5372</v>
      </c>
      <c r="B66" t="s">
        <v>2331</v>
      </c>
      <c r="C66">
        <v>5697</v>
      </c>
      <c r="D66" t="s">
        <v>2201</v>
      </c>
      <c r="E66" t="s">
        <v>2036</v>
      </c>
      <c r="F66">
        <v>202108</v>
      </c>
      <c r="G66" t="s">
        <v>182</v>
      </c>
      <c r="H66">
        <v>2855700</v>
      </c>
      <c r="O66">
        <v>5372</v>
      </c>
      <c r="P66" t="s">
        <v>2331</v>
      </c>
      <c r="Q66">
        <v>5697</v>
      </c>
      <c r="R66" t="s">
        <v>2201</v>
      </c>
      <c r="S66" t="s">
        <v>2036</v>
      </c>
      <c r="T66">
        <v>202203</v>
      </c>
      <c r="U66" t="s">
        <v>178</v>
      </c>
      <c r="V66">
        <v>7736.4</v>
      </c>
    </row>
    <row r="67" spans="1:22">
      <c r="A67">
        <v>5372</v>
      </c>
      <c r="B67" t="s">
        <v>2331</v>
      </c>
      <c r="C67">
        <v>5697</v>
      </c>
      <c r="D67" t="s">
        <v>2201</v>
      </c>
      <c r="E67" t="s">
        <v>2036</v>
      </c>
      <c r="F67">
        <v>202108</v>
      </c>
      <c r="G67" t="s">
        <v>184</v>
      </c>
      <c r="H67">
        <v>318878</v>
      </c>
      <c r="O67">
        <v>5372</v>
      </c>
      <c r="P67" t="s">
        <v>2331</v>
      </c>
      <c r="Q67">
        <v>5697</v>
      </c>
      <c r="R67" t="s">
        <v>2201</v>
      </c>
      <c r="S67" t="s">
        <v>2036</v>
      </c>
      <c r="T67">
        <v>202203</v>
      </c>
      <c r="U67" t="s">
        <v>180</v>
      </c>
      <c r="V67">
        <v>7509.6</v>
      </c>
    </row>
    <row r="68" spans="1:22">
      <c r="A68">
        <v>5372</v>
      </c>
      <c r="B68" t="s">
        <v>2331</v>
      </c>
      <c r="C68">
        <v>5697</v>
      </c>
      <c r="D68" t="s">
        <v>2201</v>
      </c>
      <c r="E68" t="s">
        <v>2036</v>
      </c>
      <c r="F68">
        <v>202108</v>
      </c>
      <c r="G68" t="s">
        <v>192</v>
      </c>
      <c r="H68">
        <v>0</v>
      </c>
      <c r="O68">
        <v>5372</v>
      </c>
      <c r="P68" t="s">
        <v>2331</v>
      </c>
      <c r="Q68">
        <v>5697</v>
      </c>
      <c r="R68" t="s">
        <v>2201</v>
      </c>
      <c r="S68" t="s">
        <v>2036</v>
      </c>
      <c r="T68">
        <v>202203</v>
      </c>
      <c r="U68" t="s">
        <v>182</v>
      </c>
      <c r="V68">
        <v>2956809</v>
      </c>
    </row>
    <row r="69" spans="1:22">
      <c r="A69">
        <v>5372</v>
      </c>
      <c r="B69" t="s">
        <v>2331</v>
      </c>
      <c r="C69">
        <v>5697</v>
      </c>
      <c r="D69" t="s">
        <v>2201</v>
      </c>
      <c r="E69" t="s">
        <v>2036</v>
      </c>
      <c r="F69">
        <v>202108</v>
      </c>
      <c r="G69" t="s">
        <v>2170</v>
      </c>
      <c r="H69">
        <v>2009.49</v>
      </c>
      <c r="O69">
        <v>5372</v>
      </c>
      <c r="P69" t="s">
        <v>2331</v>
      </c>
      <c r="Q69">
        <v>5697</v>
      </c>
      <c r="R69" t="s">
        <v>2201</v>
      </c>
      <c r="S69" t="s">
        <v>2036</v>
      </c>
      <c r="T69">
        <v>202203</v>
      </c>
      <c r="U69" t="s">
        <v>184</v>
      </c>
      <c r="V69">
        <v>320719</v>
      </c>
    </row>
    <row r="70" spans="1:22">
      <c r="A70">
        <v>5372</v>
      </c>
      <c r="B70" t="s">
        <v>2331</v>
      </c>
      <c r="C70">
        <v>5697</v>
      </c>
      <c r="D70" t="s">
        <v>2201</v>
      </c>
      <c r="E70" t="s">
        <v>2036</v>
      </c>
      <c r="F70">
        <v>202108</v>
      </c>
      <c r="G70" t="s">
        <v>186</v>
      </c>
      <c r="H70">
        <v>63543</v>
      </c>
      <c r="O70">
        <v>5372</v>
      </c>
      <c r="P70" t="s">
        <v>2331</v>
      </c>
      <c r="Q70">
        <v>5697</v>
      </c>
      <c r="R70" t="s">
        <v>2201</v>
      </c>
      <c r="S70" t="s">
        <v>2036</v>
      </c>
      <c r="T70">
        <v>202203</v>
      </c>
      <c r="U70" t="s">
        <v>186</v>
      </c>
      <c r="V70">
        <v>0</v>
      </c>
    </row>
    <row r="71" spans="1:22">
      <c r="A71">
        <v>5372</v>
      </c>
      <c r="B71" t="s">
        <v>2331</v>
      </c>
      <c r="C71">
        <v>5697</v>
      </c>
      <c r="D71" t="s">
        <v>2201</v>
      </c>
      <c r="E71" t="s">
        <v>2036</v>
      </c>
      <c r="F71">
        <v>202108</v>
      </c>
      <c r="G71" t="s">
        <v>2169</v>
      </c>
      <c r="H71">
        <v>273.57</v>
      </c>
      <c r="O71">
        <v>5372</v>
      </c>
      <c r="P71" t="s">
        <v>2331</v>
      </c>
      <c r="Q71">
        <v>5697</v>
      </c>
      <c r="R71" t="s">
        <v>2201</v>
      </c>
      <c r="S71" t="s">
        <v>2036</v>
      </c>
      <c r="T71">
        <v>202203</v>
      </c>
      <c r="U71" t="s">
        <v>190</v>
      </c>
      <c r="V71">
        <v>13569</v>
      </c>
    </row>
    <row r="72" spans="1:22">
      <c r="A72">
        <v>5372</v>
      </c>
      <c r="B72" t="s">
        <v>2331</v>
      </c>
      <c r="C72">
        <v>5697</v>
      </c>
      <c r="D72" t="s">
        <v>2201</v>
      </c>
      <c r="E72" t="s">
        <v>2036</v>
      </c>
      <c r="F72">
        <v>202108</v>
      </c>
      <c r="G72" t="s">
        <v>2166</v>
      </c>
      <c r="H72">
        <v>12.33</v>
      </c>
      <c r="O72">
        <v>5372</v>
      </c>
      <c r="P72" t="s">
        <v>2331</v>
      </c>
      <c r="Q72">
        <v>5697</v>
      </c>
      <c r="R72" t="s">
        <v>2201</v>
      </c>
      <c r="S72" t="s">
        <v>2036</v>
      </c>
      <c r="T72">
        <v>202203</v>
      </c>
      <c r="U72" t="s">
        <v>191</v>
      </c>
      <c r="V72">
        <v>0</v>
      </c>
    </row>
    <row r="73" spans="1:22">
      <c r="A73">
        <v>5372</v>
      </c>
      <c r="B73" t="s">
        <v>2331</v>
      </c>
      <c r="C73">
        <v>5697</v>
      </c>
      <c r="D73" t="s">
        <v>2201</v>
      </c>
      <c r="E73" t="s">
        <v>2036</v>
      </c>
      <c r="F73">
        <v>202108</v>
      </c>
      <c r="G73" t="s">
        <v>2167</v>
      </c>
      <c r="H73">
        <v>23.94</v>
      </c>
      <c r="O73">
        <v>5372</v>
      </c>
      <c r="P73" t="s">
        <v>2331</v>
      </c>
      <c r="Q73">
        <v>5697</v>
      </c>
      <c r="R73" t="s">
        <v>2201</v>
      </c>
      <c r="S73" t="s">
        <v>2036</v>
      </c>
      <c r="T73">
        <v>202203</v>
      </c>
      <c r="U73" t="s">
        <v>178</v>
      </c>
      <c r="V73">
        <v>2909.76</v>
      </c>
    </row>
    <row r="74" spans="1:22">
      <c r="A74">
        <v>5372</v>
      </c>
      <c r="B74" t="s">
        <v>2331</v>
      </c>
      <c r="C74">
        <v>5697</v>
      </c>
      <c r="D74" t="s">
        <v>2201</v>
      </c>
      <c r="E74" t="s">
        <v>2036</v>
      </c>
      <c r="F74">
        <v>202108</v>
      </c>
      <c r="G74" t="s">
        <v>2168</v>
      </c>
      <c r="H74">
        <v>10.17</v>
      </c>
      <c r="O74">
        <v>5372</v>
      </c>
      <c r="P74" t="s">
        <v>2331</v>
      </c>
      <c r="Q74">
        <v>5697</v>
      </c>
      <c r="R74" t="s">
        <v>2201</v>
      </c>
      <c r="S74" t="s">
        <v>2036</v>
      </c>
      <c r="T74">
        <v>202203</v>
      </c>
      <c r="U74" t="s">
        <v>180</v>
      </c>
      <c r="V74">
        <v>2150.4</v>
      </c>
    </row>
    <row r="75" spans="1:22">
      <c r="A75">
        <v>5372</v>
      </c>
      <c r="B75" t="s">
        <v>2331</v>
      </c>
      <c r="C75">
        <v>5697</v>
      </c>
      <c r="D75" t="s">
        <v>2201</v>
      </c>
      <c r="E75" t="s">
        <v>2036</v>
      </c>
      <c r="F75">
        <v>202108</v>
      </c>
      <c r="G75" t="s">
        <v>2171</v>
      </c>
      <c r="H75">
        <v>1116385.6499999999</v>
      </c>
      <c r="O75">
        <v>5372</v>
      </c>
      <c r="P75" t="s">
        <v>2331</v>
      </c>
      <c r="Q75">
        <v>5697</v>
      </c>
      <c r="R75" t="s">
        <v>2201</v>
      </c>
      <c r="S75" t="s">
        <v>2036</v>
      </c>
      <c r="T75">
        <v>202203</v>
      </c>
      <c r="U75" t="s">
        <v>182</v>
      </c>
      <c r="V75">
        <v>468093</v>
      </c>
    </row>
    <row r="76" spans="1:22">
      <c r="A76">
        <v>5372</v>
      </c>
      <c r="B76" t="s">
        <v>2331</v>
      </c>
      <c r="C76">
        <v>5697</v>
      </c>
      <c r="D76" t="s">
        <v>2201</v>
      </c>
      <c r="E76" t="s">
        <v>2036</v>
      </c>
      <c r="F76">
        <v>202109</v>
      </c>
      <c r="G76" t="s">
        <v>190</v>
      </c>
      <c r="H76">
        <v>2776867</v>
      </c>
      <c r="O76">
        <v>5372</v>
      </c>
      <c r="P76" t="s">
        <v>2331</v>
      </c>
      <c r="Q76">
        <v>5697</v>
      </c>
      <c r="R76" t="s">
        <v>2201</v>
      </c>
      <c r="S76" t="s">
        <v>2036</v>
      </c>
      <c r="T76">
        <v>202203</v>
      </c>
      <c r="U76" t="s">
        <v>184</v>
      </c>
      <c r="V76">
        <v>46453</v>
      </c>
    </row>
    <row r="77" spans="1:22">
      <c r="A77">
        <v>5372</v>
      </c>
      <c r="B77" t="s">
        <v>2331</v>
      </c>
      <c r="C77">
        <v>5697</v>
      </c>
      <c r="D77" t="s">
        <v>2201</v>
      </c>
      <c r="E77" t="s">
        <v>2036</v>
      </c>
      <c r="F77">
        <v>202109</v>
      </c>
      <c r="G77" t="s">
        <v>191</v>
      </c>
      <c r="H77">
        <v>323100</v>
      </c>
      <c r="O77">
        <v>5372</v>
      </c>
      <c r="P77" t="s">
        <v>2331</v>
      </c>
      <c r="Q77">
        <v>5697</v>
      </c>
      <c r="R77" t="s">
        <v>2201</v>
      </c>
      <c r="S77" t="s">
        <v>2036</v>
      </c>
      <c r="T77">
        <v>202203</v>
      </c>
      <c r="U77" t="s">
        <v>186</v>
      </c>
      <c r="V77">
        <v>0</v>
      </c>
    </row>
    <row r="78" spans="1:22">
      <c r="A78">
        <v>5372</v>
      </c>
      <c r="B78" t="s">
        <v>2331</v>
      </c>
      <c r="C78">
        <v>5697</v>
      </c>
      <c r="D78" t="s">
        <v>2201</v>
      </c>
      <c r="E78" t="s">
        <v>2036</v>
      </c>
      <c r="F78">
        <v>202109</v>
      </c>
      <c r="G78" t="s">
        <v>176</v>
      </c>
      <c r="H78">
        <v>0</v>
      </c>
      <c r="O78">
        <v>5372</v>
      </c>
      <c r="P78" t="s">
        <v>2331</v>
      </c>
      <c r="Q78">
        <v>5697</v>
      </c>
      <c r="R78" t="s">
        <v>2201</v>
      </c>
      <c r="S78" t="s">
        <v>2036</v>
      </c>
      <c r="T78">
        <v>202204</v>
      </c>
      <c r="U78" t="s">
        <v>190</v>
      </c>
      <c r="V78">
        <v>100000</v>
      </c>
    </row>
    <row r="79" spans="1:22">
      <c r="A79">
        <v>5372</v>
      </c>
      <c r="B79" t="s">
        <v>2331</v>
      </c>
      <c r="C79">
        <v>5697</v>
      </c>
      <c r="D79" t="s">
        <v>2201</v>
      </c>
      <c r="E79" t="s">
        <v>2036</v>
      </c>
      <c r="F79">
        <v>202109</v>
      </c>
      <c r="G79" t="s">
        <v>178</v>
      </c>
      <c r="H79">
        <v>7100</v>
      </c>
      <c r="O79">
        <v>5372</v>
      </c>
      <c r="P79" t="s">
        <v>2331</v>
      </c>
      <c r="Q79">
        <v>5697</v>
      </c>
      <c r="R79" t="s">
        <v>2201</v>
      </c>
      <c r="S79" t="s">
        <v>2036</v>
      </c>
      <c r="T79">
        <v>202204</v>
      </c>
      <c r="U79" t="s">
        <v>191</v>
      </c>
      <c r="V79">
        <v>0</v>
      </c>
    </row>
    <row r="80" spans="1:22">
      <c r="A80">
        <v>5372</v>
      </c>
      <c r="B80" t="s">
        <v>2331</v>
      </c>
      <c r="C80">
        <v>5697</v>
      </c>
      <c r="D80" t="s">
        <v>2201</v>
      </c>
      <c r="E80" t="s">
        <v>2036</v>
      </c>
      <c r="F80">
        <v>202109</v>
      </c>
      <c r="G80" t="s">
        <v>180</v>
      </c>
      <c r="H80">
        <v>6058.08</v>
      </c>
      <c r="O80">
        <v>5372</v>
      </c>
      <c r="P80" t="s">
        <v>2331</v>
      </c>
      <c r="Q80">
        <v>5697</v>
      </c>
      <c r="R80" t="s">
        <v>2201</v>
      </c>
      <c r="S80" t="s">
        <v>2036</v>
      </c>
      <c r="T80">
        <v>202204</v>
      </c>
      <c r="U80" t="s">
        <v>178</v>
      </c>
      <c r="V80">
        <v>7100</v>
      </c>
    </row>
    <row r="81" spans="1:22">
      <c r="A81">
        <v>5372</v>
      </c>
      <c r="B81" t="s">
        <v>2331</v>
      </c>
      <c r="C81">
        <v>5697</v>
      </c>
      <c r="D81" t="s">
        <v>2201</v>
      </c>
      <c r="E81" t="s">
        <v>2036</v>
      </c>
      <c r="F81">
        <v>202109</v>
      </c>
      <c r="G81" t="s">
        <v>182</v>
      </c>
      <c r="H81">
        <v>2842999</v>
      </c>
      <c r="O81">
        <v>5372</v>
      </c>
      <c r="P81" t="s">
        <v>2331</v>
      </c>
      <c r="Q81">
        <v>5697</v>
      </c>
      <c r="R81" t="s">
        <v>2201</v>
      </c>
      <c r="S81" t="s">
        <v>2036</v>
      </c>
      <c r="T81">
        <v>202204</v>
      </c>
      <c r="U81" t="s">
        <v>180</v>
      </c>
      <c r="V81">
        <v>5900</v>
      </c>
    </row>
    <row r="82" spans="1:22">
      <c r="A82">
        <v>5372</v>
      </c>
      <c r="B82" t="s">
        <v>2331</v>
      </c>
      <c r="C82">
        <v>5697</v>
      </c>
      <c r="D82" t="s">
        <v>2201</v>
      </c>
      <c r="E82" t="s">
        <v>2036</v>
      </c>
      <c r="F82">
        <v>202109</v>
      </c>
      <c r="G82" t="s">
        <v>184</v>
      </c>
      <c r="H82">
        <v>323100</v>
      </c>
      <c r="O82">
        <v>5372</v>
      </c>
      <c r="P82" t="s">
        <v>2331</v>
      </c>
      <c r="Q82">
        <v>5697</v>
      </c>
      <c r="R82" t="s">
        <v>2201</v>
      </c>
      <c r="S82" t="s">
        <v>2036</v>
      </c>
      <c r="T82">
        <v>202204</v>
      </c>
      <c r="U82" t="s">
        <v>182</v>
      </c>
      <c r="V82">
        <v>2704905</v>
      </c>
    </row>
    <row r="83" spans="1:22">
      <c r="A83">
        <v>5372</v>
      </c>
      <c r="B83" t="s">
        <v>2331</v>
      </c>
      <c r="C83">
        <v>5697</v>
      </c>
      <c r="D83" t="s">
        <v>2201</v>
      </c>
      <c r="E83" t="s">
        <v>2036</v>
      </c>
      <c r="F83">
        <v>202109</v>
      </c>
      <c r="G83" t="s">
        <v>192</v>
      </c>
      <c r="H83">
        <v>0</v>
      </c>
      <c r="O83">
        <v>5372</v>
      </c>
      <c r="P83" t="s">
        <v>2331</v>
      </c>
      <c r="Q83">
        <v>5697</v>
      </c>
      <c r="R83" t="s">
        <v>2201</v>
      </c>
      <c r="S83" t="s">
        <v>2036</v>
      </c>
      <c r="T83">
        <v>202204</v>
      </c>
      <c r="U83" t="s">
        <v>184</v>
      </c>
      <c r="V83">
        <v>250419</v>
      </c>
    </row>
    <row r="84" spans="1:22">
      <c r="A84">
        <v>5372</v>
      </c>
      <c r="B84" t="s">
        <v>2331</v>
      </c>
      <c r="C84">
        <v>5697</v>
      </c>
      <c r="D84" t="s">
        <v>2201</v>
      </c>
      <c r="E84" t="s">
        <v>2036</v>
      </c>
      <c r="F84">
        <v>202109</v>
      </c>
      <c r="G84" t="s">
        <v>2170</v>
      </c>
      <c r="H84">
        <v>4469.2</v>
      </c>
      <c r="O84">
        <v>5372</v>
      </c>
      <c r="P84" t="s">
        <v>2331</v>
      </c>
      <c r="Q84">
        <v>5697</v>
      </c>
      <c r="R84" t="s">
        <v>2201</v>
      </c>
      <c r="S84" t="s">
        <v>2036</v>
      </c>
      <c r="T84">
        <v>202204</v>
      </c>
      <c r="U84" t="s">
        <v>186</v>
      </c>
      <c r="V84">
        <v>0</v>
      </c>
    </row>
    <row r="85" spans="1:22">
      <c r="A85">
        <v>5372</v>
      </c>
      <c r="B85" t="s">
        <v>2331</v>
      </c>
      <c r="C85">
        <v>5697</v>
      </c>
      <c r="D85" t="s">
        <v>2201</v>
      </c>
      <c r="E85" t="s">
        <v>2036</v>
      </c>
      <c r="F85">
        <v>202109</v>
      </c>
      <c r="G85" t="s">
        <v>186</v>
      </c>
      <c r="H85">
        <v>66132</v>
      </c>
      <c r="O85">
        <v>5372</v>
      </c>
      <c r="P85" t="s">
        <v>2331</v>
      </c>
      <c r="Q85">
        <v>5697</v>
      </c>
      <c r="R85" t="s">
        <v>2201</v>
      </c>
      <c r="S85" t="s">
        <v>2036</v>
      </c>
      <c r="T85">
        <v>202204</v>
      </c>
      <c r="U85" t="s">
        <v>190</v>
      </c>
      <c r="V85">
        <v>0</v>
      </c>
    </row>
    <row r="86" spans="1:22">
      <c r="A86">
        <v>5372</v>
      </c>
      <c r="B86" t="s">
        <v>2331</v>
      </c>
      <c r="C86">
        <v>5697</v>
      </c>
      <c r="D86" t="s">
        <v>2201</v>
      </c>
      <c r="E86" t="s">
        <v>2036</v>
      </c>
      <c r="F86">
        <v>202109</v>
      </c>
      <c r="G86" t="s">
        <v>2169</v>
      </c>
      <c r="H86">
        <v>273.57</v>
      </c>
      <c r="O86">
        <v>5372</v>
      </c>
      <c r="P86" t="s">
        <v>2331</v>
      </c>
      <c r="Q86">
        <v>5697</v>
      </c>
      <c r="R86" t="s">
        <v>2201</v>
      </c>
      <c r="S86" t="s">
        <v>2036</v>
      </c>
      <c r="T86">
        <v>202204</v>
      </c>
      <c r="U86" t="s">
        <v>191</v>
      </c>
      <c r="V86">
        <v>0</v>
      </c>
    </row>
    <row r="87" spans="1:22">
      <c r="A87">
        <v>5372</v>
      </c>
      <c r="B87" t="s">
        <v>2331</v>
      </c>
      <c r="C87">
        <v>5697</v>
      </c>
      <c r="D87" t="s">
        <v>2201</v>
      </c>
      <c r="E87" t="s">
        <v>2036</v>
      </c>
      <c r="F87">
        <v>202109</v>
      </c>
      <c r="G87" t="s">
        <v>2166</v>
      </c>
      <c r="H87">
        <v>12.33</v>
      </c>
      <c r="O87">
        <v>5372</v>
      </c>
      <c r="P87" t="s">
        <v>2331</v>
      </c>
      <c r="Q87">
        <v>5697</v>
      </c>
      <c r="R87" t="s">
        <v>2201</v>
      </c>
      <c r="S87" t="s">
        <v>2036</v>
      </c>
      <c r="T87">
        <v>202204</v>
      </c>
      <c r="U87" t="s">
        <v>178</v>
      </c>
      <c r="V87">
        <v>3500</v>
      </c>
    </row>
    <row r="88" spans="1:22">
      <c r="A88">
        <v>5372</v>
      </c>
      <c r="B88" t="s">
        <v>2331</v>
      </c>
      <c r="C88">
        <v>5697</v>
      </c>
      <c r="D88" t="s">
        <v>2201</v>
      </c>
      <c r="E88" t="s">
        <v>2036</v>
      </c>
      <c r="F88">
        <v>202109</v>
      </c>
      <c r="G88" t="s">
        <v>2167</v>
      </c>
      <c r="H88">
        <v>23.94</v>
      </c>
      <c r="O88">
        <v>5372</v>
      </c>
      <c r="P88" t="s">
        <v>2331</v>
      </c>
      <c r="Q88">
        <v>5697</v>
      </c>
      <c r="R88" t="s">
        <v>2201</v>
      </c>
      <c r="S88" t="s">
        <v>2036</v>
      </c>
      <c r="T88">
        <v>202204</v>
      </c>
      <c r="U88" t="s">
        <v>180</v>
      </c>
      <c r="V88">
        <v>2849.28</v>
      </c>
    </row>
    <row r="89" spans="1:22">
      <c r="A89">
        <v>5372</v>
      </c>
      <c r="B89" t="s">
        <v>2331</v>
      </c>
      <c r="C89">
        <v>5697</v>
      </c>
      <c r="D89" t="s">
        <v>2201</v>
      </c>
      <c r="E89" t="s">
        <v>2036</v>
      </c>
      <c r="F89">
        <v>202109</v>
      </c>
      <c r="G89" t="s">
        <v>2168</v>
      </c>
      <c r="H89">
        <v>10.17</v>
      </c>
      <c r="O89">
        <v>5372</v>
      </c>
      <c r="P89" t="s">
        <v>2331</v>
      </c>
      <c r="Q89">
        <v>5697</v>
      </c>
      <c r="R89" t="s">
        <v>2201</v>
      </c>
      <c r="S89" t="s">
        <v>2036</v>
      </c>
      <c r="T89">
        <v>202204</v>
      </c>
      <c r="U89" t="s">
        <v>182</v>
      </c>
      <c r="V89">
        <v>1631688</v>
      </c>
    </row>
    <row r="90" spans="1:22">
      <c r="A90">
        <v>5372</v>
      </c>
      <c r="B90" t="s">
        <v>2331</v>
      </c>
      <c r="C90">
        <v>5697</v>
      </c>
      <c r="D90" t="s">
        <v>2201</v>
      </c>
      <c r="E90" t="s">
        <v>2036</v>
      </c>
      <c r="F90">
        <v>202109</v>
      </c>
      <c r="G90" t="s">
        <v>2171</v>
      </c>
      <c r="H90">
        <v>1117299.8</v>
      </c>
      <c r="O90">
        <v>5372</v>
      </c>
      <c r="P90" t="s">
        <v>2331</v>
      </c>
      <c r="Q90">
        <v>5697</v>
      </c>
      <c r="R90" t="s">
        <v>2201</v>
      </c>
      <c r="S90" t="s">
        <v>2036</v>
      </c>
      <c r="T90">
        <v>202204</v>
      </c>
      <c r="U90" t="s">
        <v>184</v>
      </c>
      <c r="V90">
        <v>123723</v>
      </c>
    </row>
    <row r="91" spans="1:22">
      <c r="A91">
        <v>5372</v>
      </c>
      <c r="B91" t="s">
        <v>2331</v>
      </c>
      <c r="C91">
        <v>5697</v>
      </c>
      <c r="D91" t="s">
        <v>2201</v>
      </c>
      <c r="E91" t="s">
        <v>2036</v>
      </c>
      <c r="F91">
        <v>202110</v>
      </c>
      <c r="G91" t="s">
        <v>190</v>
      </c>
      <c r="H91">
        <v>2662758</v>
      </c>
      <c r="O91">
        <v>5372</v>
      </c>
      <c r="P91" t="s">
        <v>2331</v>
      </c>
      <c r="Q91">
        <v>5697</v>
      </c>
      <c r="R91" t="s">
        <v>2201</v>
      </c>
      <c r="S91" t="s">
        <v>2036</v>
      </c>
      <c r="T91">
        <v>202204</v>
      </c>
      <c r="U91" t="s">
        <v>186</v>
      </c>
      <c r="V91">
        <v>0</v>
      </c>
    </row>
    <row r="92" spans="1:22">
      <c r="A92">
        <v>5372</v>
      </c>
      <c r="B92" t="s">
        <v>2331</v>
      </c>
      <c r="C92">
        <v>5697</v>
      </c>
      <c r="D92" t="s">
        <v>2201</v>
      </c>
      <c r="E92" t="s">
        <v>2036</v>
      </c>
      <c r="F92">
        <v>202110</v>
      </c>
      <c r="G92" t="s">
        <v>191</v>
      </c>
      <c r="H92">
        <v>308642</v>
      </c>
      <c r="O92">
        <v>5372</v>
      </c>
      <c r="P92" t="s">
        <v>2331</v>
      </c>
      <c r="Q92">
        <v>5697</v>
      </c>
      <c r="R92" t="s">
        <v>2201</v>
      </c>
      <c r="S92" t="s">
        <v>2036</v>
      </c>
      <c r="T92">
        <v>202205</v>
      </c>
      <c r="U92" t="s">
        <v>190</v>
      </c>
      <c r="V92">
        <v>100000</v>
      </c>
    </row>
    <row r="93" spans="1:22">
      <c r="A93">
        <v>5372</v>
      </c>
      <c r="B93" t="s">
        <v>2331</v>
      </c>
      <c r="C93">
        <v>5697</v>
      </c>
      <c r="D93" t="s">
        <v>2201</v>
      </c>
      <c r="E93" t="s">
        <v>2036</v>
      </c>
      <c r="F93">
        <v>202110</v>
      </c>
      <c r="G93" t="s">
        <v>176</v>
      </c>
      <c r="H93">
        <v>0</v>
      </c>
      <c r="O93">
        <v>5372</v>
      </c>
      <c r="P93" t="s">
        <v>2331</v>
      </c>
      <c r="Q93">
        <v>5697</v>
      </c>
      <c r="R93" t="s">
        <v>2201</v>
      </c>
      <c r="S93" t="s">
        <v>2036</v>
      </c>
      <c r="T93">
        <v>202205</v>
      </c>
      <c r="U93" t="s">
        <v>191</v>
      </c>
      <c r="V93">
        <v>0</v>
      </c>
    </row>
    <row r="94" spans="1:22">
      <c r="A94">
        <v>5372</v>
      </c>
      <c r="B94" t="s">
        <v>2331</v>
      </c>
      <c r="C94">
        <v>5697</v>
      </c>
      <c r="D94" t="s">
        <v>2201</v>
      </c>
      <c r="E94" t="s">
        <v>2036</v>
      </c>
      <c r="F94">
        <v>202110</v>
      </c>
      <c r="G94" t="s">
        <v>178</v>
      </c>
      <c r="H94">
        <v>7100</v>
      </c>
      <c r="O94">
        <v>5372</v>
      </c>
      <c r="P94" t="s">
        <v>2331</v>
      </c>
      <c r="Q94">
        <v>5697</v>
      </c>
      <c r="R94" t="s">
        <v>2201</v>
      </c>
      <c r="S94" t="s">
        <v>2036</v>
      </c>
      <c r="T94">
        <v>202205</v>
      </c>
      <c r="U94" t="s">
        <v>178</v>
      </c>
      <c r="V94">
        <v>7100</v>
      </c>
    </row>
    <row r="95" spans="1:22">
      <c r="A95">
        <v>5372</v>
      </c>
      <c r="B95" t="s">
        <v>2331</v>
      </c>
      <c r="C95">
        <v>5697</v>
      </c>
      <c r="D95" t="s">
        <v>2201</v>
      </c>
      <c r="E95" t="s">
        <v>2036</v>
      </c>
      <c r="F95">
        <v>202110</v>
      </c>
      <c r="G95" t="s">
        <v>180</v>
      </c>
      <c r="H95">
        <v>5962.32</v>
      </c>
      <c r="O95">
        <v>5372</v>
      </c>
      <c r="P95" t="s">
        <v>2331</v>
      </c>
      <c r="Q95">
        <v>5697</v>
      </c>
      <c r="R95" t="s">
        <v>2201</v>
      </c>
      <c r="S95" t="s">
        <v>2036</v>
      </c>
      <c r="T95">
        <v>202205</v>
      </c>
      <c r="U95" t="s">
        <v>180</v>
      </c>
      <c r="V95">
        <v>5900</v>
      </c>
    </row>
    <row r="96" spans="1:22">
      <c r="A96">
        <v>5372</v>
      </c>
      <c r="B96" t="s">
        <v>2331</v>
      </c>
      <c r="C96">
        <v>5697</v>
      </c>
      <c r="D96" t="s">
        <v>2201</v>
      </c>
      <c r="E96" t="s">
        <v>2036</v>
      </c>
      <c r="F96">
        <v>202110</v>
      </c>
      <c r="G96" t="s">
        <v>182</v>
      </c>
      <c r="H96">
        <v>2728875</v>
      </c>
      <c r="O96">
        <v>5372</v>
      </c>
      <c r="P96" t="s">
        <v>2331</v>
      </c>
      <c r="Q96">
        <v>5697</v>
      </c>
      <c r="R96" t="s">
        <v>2201</v>
      </c>
      <c r="S96" t="s">
        <v>2036</v>
      </c>
      <c r="T96">
        <v>202205</v>
      </c>
      <c r="U96" t="s">
        <v>182</v>
      </c>
      <c r="V96">
        <v>2471505</v>
      </c>
    </row>
    <row r="97" spans="1:22">
      <c r="A97">
        <v>5372</v>
      </c>
      <c r="B97" t="s">
        <v>2331</v>
      </c>
      <c r="C97">
        <v>5697</v>
      </c>
      <c r="D97" t="s">
        <v>2201</v>
      </c>
      <c r="E97" t="s">
        <v>2036</v>
      </c>
      <c r="F97">
        <v>202110</v>
      </c>
      <c r="G97" t="s">
        <v>184</v>
      </c>
      <c r="H97">
        <v>308642</v>
      </c>
      <c r="O97">
        <v>5372</v>
      </c>
      <c r="P97" t="s">
        <v>2331</v>
      </c>
      <c r="Q97">
        <v>5697</v>
      </c>
      <c r="R97" t="s">
        <v>2201</v>
      </c>
      <c r="S97" t="s">
        <v>2036</v>
      </c>
      <c r="T97">
        <v>202205</v>
      </c>
      <c r="U97" t="s">
        <v>184</v>
      </c>
      <c r="V97">
        <v>207204</v>
      </c>
    </row>
    <row r="98" spans="1:22">
      <c r="A98">
        <v>5372</v>
      </c>
      <c r="B98" t="s">
        <v>2331</v>
      </c>
      <c r="C98">
        <v>5697</v>
      </c>
      <c r="D98" t="s">
        <v>2201</v>
      </c>
      <c r="E98" t="s">
        <v>2036</v>
      </c>
      <c r="F98">
        <v>202110</v>
      </c>
      <c r="G98" t="s">
        <v>192</v>
      </c>
      <c r="H98">
        <v>0</v>
      </c>
      <c r="O98">
        <v>5372</v>
      </c>
      <c r="P98" t="s">
        <v>2331</v>
      </c>
      <c r="Q98">
        <v>5697</v>
      </c>
      <c r="R98" t="s">
        <v>2201</v>
      </c>
      <c r="S98" t="s">
        <v>2036</v>
      </c>
      <c r="T98">
        <v>202205</v>
      </c>
      <c r="U98" t="s">
        <v>186</v>
      </c>
      <c r="V98">
        <v>0</v>
      </c>
    </row>
    <row r="99" spans="1:22">
      <c r="A99">
        <v>5372</v>
      </c>
      <c r="B99" t="s">
        <v>2331</v>
      </c>
      <c r="C99">
        <v>5697</v>
      </c>
      <c r="D99" t="s">
        <v>2201</v>
      </c>
      <c r="E99" t="s">
        <v>2036</v>
      </c>
      <c r="F99">
        <v>202110</v>
      </c>
      <c r="G99" t="s">
        <v>2170</v>
      </c>
      <c r="H99">
        <v>28997.03</v>
      </c>
      <c r="O99">
        <v>5372</v>
      </c>
      <c r="P99" t="s">
        <v>2331</v>
      </c>
      <c r="Q99">
        <v>5697</v>
      </c>
      <c r="R99" t="s">
        <v>2201</v>
      </c>
      <c r="S99" t="s">
        <v>2036</v>
      </c>
      <c r="T99">
        <v>202206</v>
      </c>
      <c r="U99" t="s">
        <v>190</v>
      </c>
      <c r="V99">
        <v>0</v>
      </c>
    </row>
    <row r="100" spans="1:22">
      <c r="A100">
        <v>5372</v>
      </c>
      <c r="B100" t="s">
        <v>2331</v>
      </c>
      <c r="C100">
        <v>5697</v>
      </c>
      <c r="D100" t="s">
        <v>2201</v>
      </c>
      <c r="E100" t="s">
        <v>2036</v>
      </c>
      <c r="F100">
        <v>202110</v>
      </c>
      <c r="G100" t="s">
        <v>186</v>
      </c>
      <c r="H100">
        <v>66117</v>
      </c>
      <c r="O100">
        <v>5372</v>
      </c>
      <c r="P100" t="s">
        <v>2331</v>
      </c>
      <c r="Q100">
        <v>5697</v>
      </c>
      <c r="R100" t="s">
        <v>2201</v>
      </c>
      <c r="S100" t="s">
        <v>2036</v>
      </c>
      <c r="T100">
        <v>202206</v>
      </c>
      <c r="U100" t="s">
        <v>191</v>
      </c>
      <c r="V100">
        <v>0</v>
      </c>
    </row>
    <row r="101" spans="1:22">
      <c r="A101">
        <v>5372</v>
      </c>
      <c r="B101" t="s">
        <v>2331</v>
      </c>
      <c r="C101">
        <v>5697</v>
      </c>
      <c r="D101" t="s">
        <v>2201</v>
      </c>
      <c r="E101" t="s">
        <v>2036</v>
      </c>
      <c r="F101">
        <v>202110</v>
      </c>
      <c r="G101" t="s">
        <v>2169</v>
      </c>
      <c r="H101">
        <v>274.89</v>
      </c>
      <c r="O101">
        <v>5372</v>
      </c>
      <c r="P101" t="s">
        <v>2331</v>
      </c>
      <c r="Q101">
        <v>5697</v>
      </c>
      <c r="R101" t="s">
        <v>2201</v>
      </c>
      <c r="S101" t="s">
        <v>2036</v>
      </c>
      <c r="T101">
        <v>202206</v>
      </c>
      <c r="U101" t="s">
        <v>178</v>
      </c>
      <c r="V101">
        <v>3500</v>
      </c>
    </row>
    <row r="102" spans="1:22">
      <c r="A102">
        <v>5372</v>
      </c>
      <c r="B102" t="s">
        <v>2331</v>
      </c>
      <c r="C102">
        <v>5697</v>
      </c>
      <c r="D102" t="s">
        <v>2201</v>
      </c>
      <c r="E102" t="s">
        <v>2036</v>
      </c>
      <c r="F102">
        <v>202110</v>
      </c>
      <c r="G102" t="s">
        <v>2166</v>
      </c>
      <c r="H102">
        <v>12.31</v>
      </c>
      <c r="O102">
        <v>5372</v>
      </c>
      <c r="P102" t="s">
        <v>2331</v>
      </c>
      <c r="Q102">
        <v>5697</v>
      </c>
      <c r="R102" t="s">
        <v>2201</v>
      </c>
      <c r="S102" t="s">
        <v>2036</v>
      </c>
      <c r="T102">
        <v>202206</v>
      </c>
      <c r="U102" t="s">
        <v>180</v>
      </c>
      <c r="V102">
        <v>2800</v>
      </c>
    </row>
    <row r="103" spans="1:22">
      <c r="A103">
        <v>5372</v>
      </c>
      <c r="B103" t="s">
        <v>2331</v>
      </c>
      <c r="C103">
        <v>5697</v>
      </c>
      <c r="D103" t="s">
        <v>2201</v>
      </c>
      <c r="E103" t="s">
        <v>2036</v>
      </c>
      <c r="F103">
        <v>202110</v>
      </c>
      <c r="G103" t="s">
        <v>2167</v>
      </c>
      <c r="H103">
        <v>23.85</v>
      </c>
      <c r="O103">
        <v>5372</v>
      </c>
      <c r="P103" t="s">
        <v>2331</v>
      </c>
      <c r="Q103">
        <v>5697</v>
      </c>
      <c r="R103" t="s">
        <v>2201</v>
      </c>
      <c r="S103" t="s">
        <v>2036</v>
      </c>
      <c r="T103">
        <v>202206</v>
      </c>
      <c r="U103" t="s">
        <v>182</v>
      </c>
      <c r="V103">
        <v>1169488</v>
      </c>
    </row>
    <row r="104" spans="1:22">
      <c r="A104">
        <v>5372</v>
      </c>
      <c r="B104" t="s">
        <v>2331</v>
      </c>
      <c r="C104">
        <v>5697</v>
      </c>
      <c r="D104" t="s">
        <v>2201</v>
      </c>
      <c r="E104" t="s">
        <v>2036</v>
      </c>
      <c r="F104">
        <v>202110</v>
      </c>
      <c r="G104" t="s">
        <v>2168</v>
      </c>
      <c r="H104">
        <v>10.31</v>
      </c>
      <c r="O104">
        <v>5372</v>
      </c>
      <c r="P104" t="s">
        <v>2331</v>
      </c>
      <c r="Q104">
        <v>5697</v>
      </c>
      <c r="R104" t="s">
        <v>2201</v>
      </c>
      <c r="S104" t="s">
        <v>2036</v>
      </c>
      <c r="T104">
        <v>202206</v>
      </c>
      <c r="U104" t="s">
        <v>184</v>
      </c>
      <c r="V104">
        <v>110898</v>
      </c>
    </row>
    <row r="105" spans="1:22">
      <c r="A105">
        <v>5372</v>
      </c>
      <c r="B105" t="s">
        <v>2331</v>
      </c>
      <c r="C105">
        <v>5697</v>
      </c>
      <c r="D105" t="s">
        <v>2201</v>
      </c>
      <c r="E105" t="s">
        <v>2036</v>
      </c>
      <c r="F105">
        <v>202110</v>
      </c>
      <c r="G105" t="s">
        <v>2171</v>
      </c>
      <c r="H105">
        <v>1106756.8400000001</v>
      </c>
      <c r="O105">
        <v>5372</v>
      </c>
      <c r="P105" t="s">
        <v>2331</v>
      </c>
      <c r="Q105">
        <v>5697</v>
      </c>
      <c r="R105" t="s">
        <v>2201</v>
      </c>
      <c r="S105" t="s">
        <v>2036</v>
      </c>
      <c r="T105">
        <v>202206</v>
      </c>
      <c r="U105" t="s">
        <v>186</v>
      </c>
      <c r="V105">
        <v>0</v>
      </c>
    </row>
    <row r="106" spans="1:22">
      <c r="A106">
        <v>5372</v>
      </c>
      <c r="B106" t="s">
        <v>2331</v>
      </c>
      <c r="C106">
        <v>5697</v>
      </c>
      <c r="D106" t="s">
        <v>2201</v>
      </c>
      <c r="E106" t="s">
        <v>2036</v>
      </c>
      <c r="F106">
        <v>202112</v>
      </c>
      <c r="G106" t="s">
        <v>190</v>
      </c>
      <c r="H106">
        <v>2941983</v>
      </c>
      <c r="O106">
        <v>5372</v>
      </c>
      <c r="P106" t="s">
        <v>2331</v>
      </c>
      <c r="Q106">
        <v>5697</v>
      </c>
      <c r="R106" t="s">
        <v>2201</v>
      </c>
      <c r="S106" t="s">
        <v>2036</v>
      </c>
      <c r="T106">
        <v>202206</v>
      </c>
      <c r="U106" t="s">
        <v>190</v>
      </c>
      <c r="V106">
        <v>100000</v>
      </c>
    </row>
    <row r="107" spans="1:22">
      <c r="A107">
        <v>5372</v>
      </c>
      <c r="B107" t="s">
        <v>2331</v>
      </c>
      <c r="C107">
        <v>5697</v>
      </c>
      <c r="D107" t="s">
        <v>2201</v>
      </c>
      <c r="E107" t="s">
        <v>2036</v>
      </c>
      <c r="F107">
        <v>202112</v>
      </c>
      <c r="G107" t="s">
        <v>191</v>
      </c>
      <c r="H107">
        <v>315945</v>
      </c>
      <c r="O107">
        <v>5372</v>
      </c>
      <c r="P107" t="s">
        <v>2331</v>
      </c>
      <c r="Q107">
        <v>5697</v>
      </c>
      <c r="R107" t="s">
        <v>2201</v>
      </c>
      <c r="S107" t="s">
        <v>2036</v>
      </c>
      <c r="T107">
        <v>202206</v>
      </c>
      <c r="U107" t="s">
        <v>191</v>
      </c>
      <c r="V107">
        <v>0</v>
      </c>
    </row>
    <row r="108" spans="1:22">
      <c r="A108">
        <v>5372</v>
      </c>
      <c r="B108" t="s">
        <v>2331</v>
      </c>
      <c r="C108">
        <v>5697</v>
      </c>
      <c r="D108" t="s">
        <v>2201</v>
      </c>
      <c r="E108" t="s">
        <v>2036</v>
      </c>
      <c r="F108">
        <v>202112</v>
      </c>
      <c r="G108" t="s">
        <v>176</v>
      </c>
      <c r="H108">
        <v>0</v>
      </c>
      <c r="O108">
        <v>5372</v>
      </c>
      <c r="P108" t="s">
        <v>2331</v>
      </c>
      <c r="Q108">
        <v>5697</v>
      </c>
      <c r="R108" t="s">
        <v>2201</v>
      </c>
      <c r="S108" t="s">
        <v>2036</v>
      </c>
      <c r="T108">
        <v>202206</v>
      </c>
      <c r="U108" t="s">
        <v>178</v>
      </c>
      <c r="V108">
        <v>7100</v>
      </c>
    </row>
    <row r="109" spans="1:22">
      <c r="A109">
        <v>5372</v>
      </c>
      <c r="B109" t="s">
        <v>2331</v>
      </c>
      <c r="C109">
        <v>5697</v>
      </c>
      <c r="D109" t="s">
        <v>2201</v>
      </c>
      <c r="E109" t="s">
        <v>2036</v>
      </c>
      <c r="F109">
        <v>202112</v>
      </c>
      <c r="G109" t="s">
        <v>178</v>
      </c>
      <c r="H109">
        <v>7267.68</v>
      </c>
      <c r="O109">
        <v>5372</v>
      </c>
      <c r="P109" t="s">
        <v>2331</v>
      </c>
      <c r="Q109">
        <v>5697</v>
      </c>
      <c r="R109" t="s">
        <v>2201</v>
      </c>
      <c r="S109" t="s">
        <v>2036</v>
      </c>
      <c r="T109">
        <v>202206</v>
      </c>
      <c r="U109" t="s">
        <v>180</v>
      </c>
      <c r="V109">
        <v>5900</v>
      </c>
    </row>
    <row r="110" spans="1:22">
      <c r="A110">
        <v>5372</v>
      </c>
      <c r="B110" t="s">
        <v>2331</v>
      </c>
      <c r="C110">
        <v>5697</v>
      </c>
      <c r="D110" t="s">
        <v>2201</v>
      </c>
      <c r="E110" t="s">
        <v>2036</v>
      </c>
      <c r="F110">
        <v>202112</v>
      </c>
      <c r="G110" t="s">
        <v>180</v>
      </c>
      <c r="H110">
        <v>6612.48</v>
      </c>
      <c r="O110">
        <v>5372</v>
      </c>
      <c r="P110" t="s">
        <v>2331</v>
      </c>
      <c r="Q110">
        <v>5697</v>
      </c>
      <c r="R110" t="s">
        <v>2201</v>
      </c>
      <c r="S110" t="s">
        <v>2036</v>
      </c>
      <c r="T110">
        <v>202206</v>
      </c>
      <c r="U110" t="s">
        <v>182</v>
      </c>
      <c r="V110">
        <v>2385003</v>
      </c>
    </row>
    <row r="111" spans="1:22">
      <c r="A111">
        <v>5372</v>
      </c>
      <c r="B111" t="s">
        <v>2331</v>
      </c>
      <c r="C111">
        <v>5697</v>
      </c>
      <c r="D111" t="s">
        <v>2201</v>
      </c>
      <c r="E111" t="s">
        <v>2036</v>
      </c>
      <c r="F111">
        <v>202112</v>
      </c>
      <c r="G111" t="s">
        <v>182</v>
      </c>
      <c r="H111">
        <v>3012268</v>
      </c>
      <c r="O111">
        <v>5372</v>
      </c>
      <c r="P111" t="s">
        <v>2331</v>
      </c>
      <c r="Q111">
        <v>5697</v>
      </c>
      <c r="R111" t="s">
        <v>2201</v>
      </c>
      <c r="S111" t="s">
        <v>2036</v>
      </c>
      <c r="T111">
        <v>202206</v>
      </c>
      <c r="U111" t="s">
        <v>184</v>
      </c>
      <c r="V111">
        <v>235402</v>
      </c>
    </row>
    <row r="112" spans="1:22">
      <c r="A112">
        <v>5372</v>
      </c>
      <c r="B112" t="s">
        <v>2331</v>
      </c>
      <c r="C112">
        <v>5697</v>
      </c>
      <c r="D112" t="s">
        <v>2201</v>
      </c>
      <c r="E112" t="s">
        <v>2036</v>
      </c>
      <c r="F112">
        <v>202112</v>
      </c>
      <c r="G112" t="s">
        <v>184</v>
      </c>
      <c r="H112">
        <v>315945</v>
      </c>
      <c r="O112">
        <v>5372</v>
      </c>
      <c r="P112" t="s">
        <v>2331</v>
      </c>
      <c r="Q112">
        <v>5697</v>
      </c>
      <c r="R112" t="s">
        <v>2201</v>
      </c>
      <c r="S112" t="s">
        <v>2036</v>
      </c>
      <c r="T112">
        <v>202206</v>
      </c>
      <c r="U112" t="s">
        <v>186</v>
      </c>
      <c r="V112">
        <v>0</v>
      </c>
    </row>
    <row r="113" spans="1:22">
      <c r="A113">
        <v>5372</v>
      </c>
      <c r="B113" t="s">
        <v>2331</v>
      </c>
      <c r="C113">
        <v>5697</v>
      </c>
      <c r="D113" t="s">
        <v>2201</v>
      </c>
      <c r="E113" t="s">
        <v>2036</v>
      </c>
      <c r="F113">
        <v>202112</v>
      </c>
      <c r="G113" t="s">
        <v>192</v>
      </c>
      <c r="H113">
        <v>0</v>
      </c>
      <c r="O113">
        <v>5372</v>
      </c>
      <c r="P113" t="s">
        <v>2331</v>
      </c>
      <c r="Q113">
        <v>5697</v>
      </c>
      <c r="R113" t="s">
        <v>2201</v>
      </c>
      <c r="S113" t="s">
        <v>2036</v>
      </c>
      <c r="T113">
        <v>202207</v>
      </c>
      <c r="U113" t="s">
        <v>190</v>
      </c>
      <c r="V113">
        <v>0</v>
      </c>
    </row>
    <row r="114" spans="1:22">
      <c r="A114">
        <v>5372</v>
      </c>
      <c r="B114" t="s">
        <v>2331</v>
      </c>
      <c r="C114">
        <v>5697</v>
      </c>
      <c r="D114" t="s">
        <v>2201</v>
      </c>
      <c r="E114" t="s">
        <v>2036</v>
      </c>
      <c r="F114">
        <v>202112</v>
      </c>
      <c r="G114" t="s">
        <v>2170</v>
      </c>
      <c r="H114">
        <v>51482.94</v>
      </c>
      <c r="O114">
        <v>5372</v>
      </c>
      <c r="P114" t="s">
        <v>2331</v>
      </c>
      <c r="Q114">
        <v>5697</v>
      </c>
      <c r="R114" t="s">
        <v>2201</v>
      </c>
      <c r="S114" t="s">
        <v>2036</v>
      </c>
      <c r="T114">
        <v>202207</v>
      </c>
      <c r="U114" t="s">
        <v>191</v>
      </c>
      <c r="V114">
        <v>0</v>
      </c>
    </row>
    <row r="115" spans="1:22">
      <c r="A115">
        <v>5372</v>
      </c>
      <c r="B115" t="s">
        <v>2331</v>
      </c>
      <c r="C115">
        <v>5697</v>
      </c>
      <c r="D115" t="s">
        <v>2201</v>
      </c>
      <c r="E115" t="s">
        <v>2036</v>
      </c>
      <c r="F115">
        <v>202112</v>
      </c>
      <c r="G115" t="s">
        <v>186</v>
      </c>
      <c r="H115">
        <v>70285</v>
      </c>
      <c r="O115">
        <v>5372</v>
      </c>
      <c r="P115" t="s">
        <v>2331</v>
      </c>
      <c r="Q115">
        <v>5697</v>
      </c>
      <c r="R115" t="s">
        <v>2201</v>
      </c>
      <c r="S115" t="s">
        <v>2036</v>
      </c>
      <c r="T115">
        <v>202207</v>
      </c>
      <c r="U115" t="s">
        <v>178</v>
      </c>
      <c r="V115">
        <v>3500</v>
      </c>
    </row>
    <row r="116" spans="1:22">
      <c r="A116">
        <v>5372</v>
      </c>
      <c r="B116" t="s">
        <v>2331</v>
      </c>
      <c r="C116">
        <v>5697</v>
      </c>
      <c r="D116" t="s">
        <v>2201</v>
      </c>
      <c r="E116" t="s">
        <v>2036</v>
      </c>
      <c r="F116">
        <v>202112</v>
      </c>
      <c r="G116" t="s">
        <v>2169</v>
      </c>
      <c r="H116">
        <v>313.3</v>
      </c>
      <c r="O116">
        <v>5372</v>
      </c>
      <c r="P116" t="s">
        <v>2331</v>
      </c>
      <c r="Q116">
        <v>5697</v>
      </c>
      <c r="R116" t="s">
        <v>2201</v>
      </c>
      <c r="S116" t="s">
        <v>2036</v>
      </c>
      <c r="T116">
        <v>202207</v>
      </c>
      <c r="U116" t="s">
        <v>180</v>
      </c>
      <c r="V116">
        <v>2800</v>
      </c>
    </row>
    <row r="117" spans="1:22">
      <c r="A117">
        <v>5372</v>
      </c>
      <c r="B117" t="s">
        <v>2331</v>
      </c>
      <c r="C117">
        <v>5697</v>
      </c>
      <c r="D117" t="s">
        <v>2201</v>
      </c>
      <c r="E117" t="s">
        <v>2036</v>
      </c>
      <c r="F117">
        <v>202112</v>
      </c>
      <c r="G117" t="s">
        <v>2166</v>
      </c>
      <c r="H117">
        <v>11.83</v>
      </c>
      <c r="O117">
        <v>5372</v>
      </c>
      <c r="P117" t="s">
        <v>2331</v>
      </c>
      <c r="Q117">
        <v>5697</v>
      </c>
      <c r="R117" t="s">
        <v>2201</v>
      </c>
      <c r="S117" t="s">
        <v>2036</v>
      </c>
      <c r="T117">
        <v>202207</v>
      </c>
      <c r="U117" t="s">
        <v>182</v>
      </c>
      <c r="V117">
        <v>1211978</v>
      </c>
    </row>
    <row r="118" spans="1:22">
      <c r="A118">
        <v>5372</v>
      </c>
      <c r="B118" t="s">
        <v>2331</v>
      </c>
      <c r="C118">
        <v>5697</v>
      </c>
      <c r="D118" t="s">
        <v>2201</v>
      </c>
      <c r="E118" t="s">
        <v>2036</v>
      </c>
      <c r="F118">
        <v>202112</v>
      </c>
      <c r="G118" t="s">
        <v>2167</v>
      </c>
      <c r="H118">
        <v>21.22</v>
      </c>
      <c r="O118">
        <v>5372</v>
      </c>
      <c r="P118" t="s">
        <v>2331</v>
      </c>
      <c r="Q118">
        <v>5697</v>
      </c>
      <c r="R118" t="s">
        <v>2201</v>
      </c>
      <c r="S118" t="s">
        <v>2036</v>
      </c>
      <c r="T118">
        <v>202207</v>
      </c>
      <c r="U118" t="s">
        <v>184</v>
      </c>
      <c r="V118">
        <v>102474</v>
      </c>
    </row>
    <row r="119" spans="1:22">
      <c r="A119">
        <v>5372</v>
      </c>
      <c r="B119" t="s">
        <v>2331</v>
      </c>
      <c r="C119">
        <v>5697</v>
      </c>
      <c r="D119" t="s">
        <v>2201</v>
      </c>
      <c r="E119" t="s">
        <v>2036</v>
      </c>
      <c r="F119">
        <v>202112</v>
      </c>
      <c r="G119" t="s">
        <v>2168</v>
      </c>
      <c r="H119">
        <v>14.37</v>
      </c>
      <c r="O119">
        <v>5372</v>
      </c>
      <c r="P119" t="s">
        <v>2331</v>
      </c>
      <c r="Q119">
        <v>5697</v>
      </c>
      <c r="R119" t="s">
        <v>2201</v>
      </c>
      <c r="S119" t="s">
        <v>2036</v>
      </c>
      <c r="T119">
        <v>202207</v>
      </c>
      <c r="U119" t="s">
        <v>186</v>
      </c>
      <c r="V119">
        <v>0</v>
      </c>
    </row>
    <row r="120" spans="1:22">
      <c r="A120">
        <v>5372</v>
      </c>
      <c r="B120" t="s">
        <v>2331</v>
      </c>
      <c r="C120">
        <v>5697</v>
      </c>
      <c r="D120" t="s">
        <v>2201</v>
      </c>
      <c r="E120" t="s">
        <v>2036</v>
      </c>
      <c r="F120">
        <v>202112</v>
      </c>
      <c r="G120" t="s">
        <v>2171</v>
      </c>
      <c r="H120">
        <v>1376549.3</v>
      </c>
      <c r="O120">
        <v>5372</v>
      </c>
      <c r="P120" t="s">
        <v>2331</v>
      </c>
      <c r="Q120">
        <v>5697</v>
      </c>
      <c r="R120" t="s">
        <v>2201</v>
      </c>
      <c r="S120" t="s">
        <v>2036</v>
      </c>
      <c r="T120">
        <v>202207</v>
      </c>
      <c r="U120" t="s">
        <v>190</v>
      </c>
      <c r="V120">
        <v>100000</v>
      </c>
    </row>
    <row r="121" spans="1:22">
      <c r="A121">
        <v>5372</v>
      </c>
      <c r="B121" t="s">
        <v>2331</v>
      </c>
      <c r="C121">
        <v>5697</v>
      </c>
      <c r="D121" t="s">
        <v>2201</v>
      </c>
      <c r="E121" t="s">
        <v>2036</v>
      </c>
      <c r="F121">
        <v>202201</v>
      </c>
      <c r="G121" t="s">
        <v>190</v>
      </c>
      <c r="H121">
        <v>3121473</v>
      </c>
      <c r="O121">
        <v>5372</v>
      </c>
      <c r="P121" t="s">
        <v>2331</v>
      </c>
      <c r="Q121">
        <v>5697</v>
      </c>
      <c r="R121" t="s">
        <v>2201</v>
      </c>
      <c r="S121" t="s">
        <v>2036</v>
      </c>
      <c r="T121">
        <v>202207</v>
      </c>
      <c r="U121" t="s">
        <v>191</v>
      </c>
      <c r="V121">
        <v>0</v>
      </c>
    </row>
    <row r="122" spans="1:22">
      <c r="A122">
        <v>5372</v>
      </c>
      <c r="B122" t="s">
        <v>2331</v>
      </c>
      <c r="C122">
        <v>5697</v>
      </c>
      <c r="D122" t="s">
        <v>2201</v>
      </c>
      <c r="E122" t="s">
        <v>2036</v>
      </c>
      <c r="F122">
        <v>202201</v>
      </c>
      <c r="G122" t="s">
        <v>191</v>
      </c>
      <c r="H122">
        <v>363066</v>
      </c>
      <c r="O122">
        <v>5372</v>
      </c>
      <c r="P122" t="s">
        <v>2331</v>
      </c>
      <c r="Q122">
        <v>5697</v>
      </c>
      <c r="R122" t="s">
        <v>2201</v>
      </c>
      <c r="S122" t="s">
        <v>2036</v>
      </c>
      <c r="T122">
        <v>202207</v>
      </c>
      <c r="U122" t="s">
        <v>178</v>
      </c>
      <c r="V122">
        <v>5500</v>
      </c>
    </row>
    <row r="123" spans="1:22">
      <c r="A123">
        <v>5372</v>
      </c>
      <c r="B123" t="s">
        <v>2331</v>
      </c>
      <c r="C123">
        <v>5697</v>
      </c>
      <c r="D123" t="s">
        <v>2201</v>
      </c>
      <c r="E123" t="s">
        <v>2036</v>
      </c>
      <c r="F123">
        <v>202201</v>
      </c>
      <c r="G123" t="s">
        <v>176</v>
      </c>
      <c r="H123">
        <v>0</v>
      </c>
      <c r="O123">
        <v>5372</v>
      </c>
      <c r="P123" t="s">
        <v>2331</v>
      </c>
      <c r="Q123">
        <v>5697</v>
      </c>
      <c r="R123" t="s">
        <v>2201</v>
      </c>
      <c r="S123" t="s">
        <v>2036</v>
      </c>
      <c r="T123">
        <v>202207</v>
      </c>
      <c r="U123" t="s">
        <v>180</v>
      </c>
      <c r="V123">
        <v>5000</v>
      </c>
    </row>
    <row r="124" spans="1:22">
      <c r="A124">
        <v>5372</v>
      </c>
      <c r="B124" t="s">
        <v>2331</v>
      </c>
      <c r="C124">
        <v>5697</v>
      </c>
      <c r="D124" t="s">
        <v>2201</v>
      </c>
      <c r="E124" t="s">
        <v>2036</v>
      </c>
      <c r="F124">
        <v>202201</v>
      </c>
      <c r="G124" t="s">
        <v>178</v>
      </c>
      <c r="H124">
        <v>7257.6</v>
      </c>
      <c r="O124">
        <v>5372</v>
      </c>
      <c r="P124" t="s">
        <v>2331</v>
      </c>
      <c r="Q124">
        <v>5697</v>
      </c>
      <c r="R124" t="s">
        <v>2201</v>
      </c>
      <c r="S124" t="s">
        <v>2036</v>
      </c>
      <c r="T124">
        <v>202207</v>
      </c>
      <c r="U124" t="s">
        <v>182</v>
      </c>
      <c r="V124">
        <v>2082462</v>
      </c>
    </row>
    <row r="125" spans="1:22">
      <c r="A125">
        <v>5372</v>
      </c>
      <c r="B125" t="s">
        <v>2331</v>
      </c>
      <c r="C125">
        <v>5697</v>
      </c>
      <c r="D125" t="s">
        <v>2201</v>
      </c>
      <c r="E125" t="s">
        <v>2036</v>
      </c>
      <c r="F125">
        <v>202201</v>
      </c>
      <c r="G125" t="s">
        <v>180</v>
      </c>
      <c r="H125">
        <v>6637.68</v>
      </c>
      <c r="O125">
        <v>5372</v>
      </c>
      <c r="P125" t="s">
        <v>2331</v>
      </c>
      <c r="Q125">
        <v>5697</v>
      </c>
      <c r="R125" t="s">
        <v>2201</v>
      </c>
      <c r="S125" t="s">
        <v>2036</v>
      </c>
      <c r="T125">
        <v>202207</v>
      </c>
      <c r="U125" t="s">
        <v>184</v>
      </c>
      <c r="V125">
        <v>210775</v>
      </c>
    </row>
    <row r="126" spans="1:22">
      <c r="A126">
        <v>5372</v>
      </c>
      <c r="B126" t="s">
        <v>2331</v>
      </c>
      <c r="C126">
        <v>5697</v>
      </c>
      <c r="D126" t="s">
        <v>2201</v>
      </c>
      <c r="E126" t="s">
        <v>2036</v>
      </c>
      <c r="F126">
        <v>202201</v>
      </c>
      <c r="G126" t="s">
        <v>182</v>
      </c>
      <c r="H126">
        <v>3185563</v>
      </c>
      <c r="O126">
        <v>5372</v>
      </c>
      <c r="P126" t="s">
        <v>2331</v>
      </c>
      <c r="Q126">
        <v>5697</v>
      </c>
      <c r="R126" t="s">
        <v>2201</v>
      </c>
      <c r="S126" t="s">
        <v>2036</v>
      </c>
      <c r="T126">
        <v>202207</v>
      </c>
      <c r="U126" t="s">
        <v>186</v>
      </c>
      <c r="V126">
        <v>0</v>
      </c>
    </row>
    <row r="127" spans="1:22">
      <c r="A127">
        <v>5372</v>
      </c>
      <c r="B127" t="s">
        <v>2331</v>
      </c>
      <c r="C127">
        <v>5697</v>
      </c>
      <c r="D127" t="s">
        <v>2201</v>
      </c>
      <c r="E127" t="s">
        <v>2036</v>
      </c>
      <c r="F127">
        <v>202201</v>
      </c>
      <c r="G127" t="s">
        <v>184</v>
      </c>
      <c r="H127">
        <v>363066</v>
      </c>
      <c r="O127">
        <v>5372</v>
      </c>
      <c r="P127" t="s">
        <v>2331</v>
      </c>
      <c r="Q127">
        <v>5697</v>
      </c>
      <c r="R127" t="s">
        <v>2201</v>
      </c>
      <c r="S127" t="s">
        <v>2036</v>
      </c>
      <c r="T127">
        <v>202208</v>
      </c>
      <c r="U127" t="s">
        <v>190</v>
      </c>
      <c r="V127">
        <v>0</v>
      </c>
    </row>
    <row r="128" spans="1:22">
      <c r="A128">
        <v>5372</v>
      </c>
      <c r="B128" t="s">
        <v>2331</v>
      </c>
      <c r="C128">
        <v>5697</v>
      </c>
      <c r="D128" t="s">
        <v>2201</v>
      </c>
      <c r="E128" t="s">
        <v>2036</v>
      </c>
      <c r="F128">
        <v>202201</v>
      </c>
      <c r="G128" t="s">
        <v>192</v>
      </c>
      <c r="H128">
        <v>0</v>
      </c>
      <c r="O128">
        <v>5372</v>
      </c>
      <c r="P128" t="s">
        <v>2331</v>
      </c>
      <c r="Q128">
        <v>5697</v>
      </c>
      <c r="R128" t="s">
        <v>2201</v>
      </c>
      <c r="S128" t="s">
        <v>2036</v>
      </c>
      <c r="T128">
        <v>202208</v>
      </c>
      <c r="U128" t="s">
        <v>191</v>
      </c>
      <c r="V128">
        <v>0</v>
      </c>
    </row>
    <row r="129" spans="1:22">
      <c r="A129">
        <v>5372</v>
      </c>
      <c r="B129" t="s">
        <v>2331</v>
      </c>
      <c r="C129">
        <v>5697</v>
      </c>
      <c r="D129" t="s">
        <v>2201</v>
      </c>
      <c r="E129" t="s">
        <v>2036</v>
      </c>
      <c r="F129">
        <v>202201</v>
      </c>
      <c r="G129" t="s">
        <v>2170</v>
      </c>
      <c r="H129">
        <v>54422.15</v>
      </c>
      <c r="O129">
        <v>5372</v>
      </c>
      <c r="P129" t="s">
        <v>2331</v>
      </c>
      <c r="Q129">
        <v>5697</v>
      </c>
      <c r="R129" t="s">
        <v>2201</v>
      </c>
      <c r="S129" t="s">
        <v>2036</v>
      </c>
      <c r="T129">
        <v>202208</v>
      </c>
      <c r="U129" t="s">
        <v>178</v>
      </c>
      <c r="V129">
        <v>3500</v>
      </c>
    </row>
    <row r="130" spans="1:22">
      <c r="A130">
        <v>5372</v>
      </c>
      <c r="B130" t="s">
        <v>2331</v>
      </c>
      <c r="C130">
        <v>5697</v>
      </c>
      <c r="D130" t="s">
        <v>2201</v>
      </c>
      <c r="E130" t="s">
        <v>2036</v>
      </c>
      <c r="F130">
        <v>202201</v>
      </c>
      <c r="G130" t="s">
        <v>186</v>
      </c>
      <c r="H130">
        <v>64090</v>
      </c>
      <c r="O130">
        <v>5372</v>
      </c>
      <c r="P130" t="s">
        <v>2331</v>
      </c>
      <c r="Q130">
        <v>5697</v>
      </c>
      <c r="R130" t="s">
        <v>2201</v>
      </c>
      <c r="S130" t="s">
        <v>2036</v>
      </c>
      <c r="T130">
        <v>202208</v>
      </c>
      <c r="U130" t="s">
        <v>180</v>
      </c>
      <c r="V130">
        <v>2800</v>
      </c>
    </row>
    <row r="131" spans="1:22">
      <c r="A131">
        <v>5372</v>
      </c>
      <c r="B131" t="s">
        <v>2331</v>
      </c>
      <c r="C131">
        <v>5697</v>
      </c>
      <c r="D131" t="s">
        <v>2201</v>
      </c>
      <c r="E131" t="s">
        <v>2036</v>
      </c>
      <c r="F131">
        <v>202201</v>
      </c>
      <c r="G131" t="s">
        <v>2169</v>
      </c>
      <c r="H131">
        <v>313.3</v>
      </c>
      <c r="O131">
        <v>5372</v>
      </c>
      <c r="P131" t="s">
        <v>2331</v>
      </c>
      <c r="Q131">
        <v>5697</v>
      </c>
      <c r="R131" t="s">
        <v>2201</v>
      </c>
      <c r="S131" t="s">
        <v>2036</v>
      </c>
      <c r="T131">
        <v>202208</v>
      </c>
      <c r="U131" t="s">
        <v>182</v>
      </c>
      <c r="V131">
        <v>1172492</v>
      </c>
    </row>
    <row r="132" spans="1:22">
      <c r="A132">
        <v>5372</v>
      </c>
      <c r="B132" t="s">
        <v>2331</v>
      </c>
      <c r="C132">
        <v>5697</v>
      </c>
      <c r="D132" t="s">
        <v>2201</v>
      </c>
      <c r="E132" t="s">
        <v>2036</v>
      </c>
      <c r="F132">
        <v>202201</v>
      </c>
      <c r="G132" t="s">
        <v>2166</v>
      </c>
      <c r="H132">
        <v>11.83</v>
      </c>
      <c r="O132">
        <v>5372</v>
      </c>
      <c r="P132" t="s">
        <v>2331</v>
      </c>
      <c r="Q132">
        <v>5697</v>
      </c>
      <c r="R132" t="s">
        <v>2201</v>
      </c>
      <c r="S132" t="s">
        <v>2036</v>
      </c>
      <c r="T132">
        <v>202208</v>
      </c>
      <c r="U132" t="s">
        <v>184</v>
      </c>
      <c r="V132">
        <v>103729</v>
      </c>
    </row>
    <row r="133" spans="1:22">
      <c r="A133">
        <v>5372</v>
      </c>
      <c r="B133" t="s">
        <v>2331</v>
      </c>
      <c r="C133">
        <v>5697</v>
      </c>
      <c r="D133" t="s">
        <v>2201</v>
      </c>
      <c r="E133" t="s">
        <v>2036</v>
      </c>
      <c r="F133">
        <v>202201</v>
      </c>
      <c r="G133" t="s">
        <v>2167</v>
      </c>
      <c r="H133">
        <v>21.22</v>
      </c>
      <c r="O133">
        <v>5372</v>
      </c>
      <c r="P133" t="s">
        <v>2331</v>
      </c>
      <c r="Q133">
        <v>5697</v>
      </c>
      <c r="R133" t="s">
        <v>2201</v>
      </c>
      <c r="S133" t="s">
        <v>2036</v>
      </c>
      <c r="T133">
        <v>202208</v>
      </c>
      <c r="U133" t="s">
        <v>186</v>
      </c>
      <c r="V133">
        <v>0</v>
      </c>
    </row>
    <row r="134" spans="1:22">
      <c r="A134">
        <v>5372</v>
      </c>
      <c r="B134" t="s">
        <v>2331</v>
      </c>
      <c r="C134">
        <v>5697</v>
      </c>
      <c r="D134" t="s">
        <v>2201</v>
      </c>
      <c r="E134" t="s">
        <v>2036</v>
      </c>
      <c r="F134">
        <v>202201</v>
      </c>
      <c r="G134" t="s">
        <v>2168</v>
      </c>
      <c r="H134">
        <v>14.37</v>
      </c>
      <c r="O134">
        <v>5372</v>
      </c>
      <c r="P134" t="s">
        <v>2331</v>
      </c>
      <c r="Q134">
        <v>5697</v>
      </c>
      <c r="R134" t="s">
        <v>2201</v>
      </c>
      <c r="S134" t="s">
        <v>2036</v>
      </c>
      <c r="T134">
        <v>202208</v>
      </c>
      <c r="U134" t="s">
        <v>190</v>
      </c>
      <c r="V134">
        <v>100000</v>
      </c>
    </row>
    <row r="135" spans="1:22">
      <c r="A135">
        <v>5372</v>
      </c>
      <c r="B135" t="s">
        <v>2331</v>
      </c>
      <c r="C135">
        <v>5697</v>
      </c>
      <c r="D135" t="s">
        <v>2201</v>
      </c>
      <c r="E135" t="s">
        <v>2036</v>
      </c>
      <c r="F135">
        <v>202201</v>
      </c>
      <c r="G135" t="s">
        <v>2171</v>
      </c>
      <c r="H135">
        <v>1455138.09</v>
      </c>
      <c r="O135">
        <v>5372</v>
      </c>
      <c r="P135" t="s">
        <v>2331</v>
      </c>
      <c r="Q135">
        <v>5697</v>
      </c>
      <c r="R135" t="s">
        <v>2201</v>
      </c>
      <c r="S135" t="s">
        <v>2036</v>
      </c>
      <c r="T135">
        <v>202208</v>
      </c>
      <c r="U135" t="s">
        <v>191</v>
      </c>
      <c r="V135">
        <v>0</v>
      </c>
    </row>
    <row r="136" spans="1:22">
      <c r="A136">
        <v>5372</v>
      </c>
      <c r="B136" t="s">
        <v>2331</v>
      </c>
      <c r="C136">
        <v>5697</v>
      </c>
      <c r="D136" t="s">
        <v>2201</v>
      </c>
      <c r="E136" t="s">
        <v>2036</v>
      </c>
      <c r="F136">
        <v>202201</v>
      </c>
      <c r="G136" t="s">
        <v>190</v>
      </c>
      <c r="H136">
        <v>0</v>
      </c>
      <c r="O136">
        <v>5372</v>
      </c>
      <c r="P136" t="s">
        <v>2331</v>
      </c>
      <c r="Q136">
        <v>5697</v>
      </c>
      <c r="R136" t="s">
        <v>2201</v>
      </c>
      <c r="S136" t="s">
        <v>2036</v>
      </c>
      <c r="T136">
        <v>202208</v>
      </c>
      <c r="U136" t="s">
        <v>178</v>
      </c>
      <c r="V136">
        <v>5500</v>
      </c>
    </row>
    <row r="137" spans="1:22">
      <c r="A137">
        <v>5372</v>
      </c>
      <c r="B137" t="s">
        <v>2331</v>
      </c>
      <c r="C137">
        <v>5697</v>
      </c>
      <c r="D137" t="s">
        <v>2201</v>
      </c>
      <c r="E137" t="s">
        <v>2036</v>
      </c>
      <c r="F137">
        <v>202201</v>
      </c>
      <c r="G137" t="s">
        <v>191</v>
      </c>
      <c r="H137">
        <v>0</v>
      </c>
      <c r="O137">
        <v>5372</v>
      </c>
      <c r="P137" t="s">
        <v>2331</v>
      </c>
      <c r="Q137">
        <v>5697</v>
      </c>
      <c r="R137" t="s">
        <v>2201</v>
      </c>
      <c r="S137" t="s">
        <v>2036</v>
      </c>
      <c r="T137">
        <v>202208</v>
      </c>
      <c r="U137" t="s">
        <v>180</v>
      </c>
      <c r="V137">
        <v>5000</v>
      </c>
    </row>
    <row r="138" spans="1:22">
      <c r="A138">
        <v>5372</v>
      </c>
      <c r="B138" t="s">
        <v>2331</v>
      </c>
      <c r="C138">
        <v>5697</v>
      </c>
      <c r="D138" t="s">
        <v>2201</v>
      </c>
      <c r="E138" t="s">
        <v>2036</v>
      </c>
      <c r="F138">
        <v>202201</v>
      </c>
      <c r="G138" t="s">
        <v>176</v>
      </c>
      <c r="H138">
        <v>0</v>
      </c>
      <c r="O138">
        <v>5372</v>
      </c>
      <c r="P138" t="s">
        <v>2331</v>
      </c>
      <c r="Q138">
        <v>5697</v>
      </c>
      <c r="R138" t="s">
        <v>2201</v>
      </c>
      <c r="S138" t="s">
        <v>2036</v>
      </c>
      <c r="T138">
        <v>202208</v>
      </c>
      <c r="U138" t="s">
        <v>182</v>
      </c>
      <c r="V138">
        <v>2073173</v>
      </c>
    </row>
    <row r="139" spans="1:22">
      <c r="A139">
        <v>5372</v>
      </c>
      <c r="B139" t="s">
        <v>2331</v>
      </c>
      <c r="C139">
        <v>5697</v>
      </c>
      <c r="D139" t="s">
        <v>2201</v>
      </c>
      <c r="E139" t="s">
        <v>2036</v>
      </c>
      <c r="F139">
        <v>202201</v>
      </c>
      <c r="G139" t="s">
        <v>178</v>
      </c>
      <c r="H139">
        <v>1200</v>
      </c>
      <c r="O139">
        <v>5372</v>
      </c>
      <c r="P139" t="s">
        <v>2331</v>
      </c>
      <c r="Q139">
        <v>5697</v>
      </c>
      <c r="R139" t="s">
        <v>2201</v>
      </c>
      <c r="S139" t="s">
        <v>2036</v>
      </c>
      <c r="T139">
        <v>202208</v>
      </c>
      <c r="U139" t="s">
        <v>184</v>
      </c>
      <c r="V139">
        <v>213241</v>
      </c>
    </row>
    <row r="140" spans="1:22">
      <c r="A140">
        <v>5372</v>
      </c>
      <c r="B140" t="s">
        <v>2331</v>
      </c>
      <c r="C140">
        <v>5697</v>
      </c>
      <c r="D140" t="s">
        <v>2201</v>
      </c>
      <c r="E140" t="s">
        <v>2036</v>
      </c>
      <c r="F140">
        <v>202201</v>
      </c>
      <c r="G140" t="s">
        <v>180</v>
      </c>
      <c r="H140">
        <v>1000</v>
      </c>
      <c r="O140">
        <v>5372</v>
      </c>
      <c r="P140" t="s">
        <v>2331</v>
      </c>
      <c r="Q140">
        <v>5697</v>
      </c>
      <c r="R140" t="s">
        <v>2201</v>
      </c>
      <c r="S140" t="s">
        <v>2036</v>
      </c>
      <c r="T140">
        <v>202208</v>
      </c>
      <c r="U140" t="s">
        <v>186</v>
      </c>
      <c r="V140">
        <v>0</v>
      </c>
    </row>
    <row r="141" spans="1:22">
      <c r="A141">
        <v>5372</v>
      </c>
      <c r="B141" t="s">
        <v>2331</v>
      </c>
      <c r="C141">
        <v>5697</v>
      </c>
      <c r="D141" t="s">
        <v>2201</v>
      </c>
      <c r="E141" t="s">
        <v>2036</v>
      </c>
      <c r="F141">
        <v>202201</v>
      </c>
      <c r="G141" t="s">
        <v>182</v>
      </c>
      <c r="H141">
        <v>0</v>
      </c>
    </row>
    <row r="142" spans="1:22">
      <c r="A142">
        <v>5372</v>
      </c>
      <c r="B142" t="s">
        <v>2331</v>
      </c>
      <c r="C142">
        <v>5697</v>
      </c>
      <c r="D142" t="s">
        <v>2201</v>
      </c>
      <c r="E142" t="s">
        <v>2036</v>
      </c>
      <c r="F142">
        <v>202201</v>
      </c>
      <c r="G142" t="s">
        <v>184</v>
      </c>
      <c r="H142">
        <v>0</v>
      </c>
    </row>
    <row r="143" spans="1:22">
      <c r="A143">
        <v>5372</v>
      </c>
      <c r="B143" t="s">
        <v>2331</v>
      </c>
      <c r="C143">
        <v>5697</v>
      </c>
      <c r="D143" t="s">
        <v>2201</v>
      </c>
      <c r="E143" t="s">
        <v>2036</v>
      </c>
      <c r="F143">
        <v>202201</v>
      </c>
      <c r="G143" t="s">
        <v>192</v>
      </c>
      <c r="H143">
        <v>0</v>
      </c>
    </row>
    <row r="144" spans="1:22">
      <c r="A144">
        <v>5372</v>
      </c>
      <c r="B144" t="s">
        <v>2331</v>
      </c>
      <c r="C144">
        <v>5697</v>
      </c>
      <c r="D144" t="s">
        <v>2201</v>
      </c>
      <c r="E144" t="s">
        <v>2036</v>
      </c>
      <c r="F144">
        <v>202201</v>
      </c>
      <c r="G144" t="s">
        <v>2170</v>
      </c>
      <c r="H144">
        <v>1376.02</v>
      </c>
    </row>
    <row r="145" spans="1:8">
      <c r="A145">
        <v>5372</v>
      </c>
      <c r="B145" t="s">
        <v>2331</v>
      </c>
      <c r="C145">
        <v>5697</v>
      </c>
      <c r="D145" t="s">
        <v>2201</v>
      </c>
      <c r="E145" t="s">
        <v>2036</v>
      </c>
      <c r="F145">
        <v>202201</v>
      </c>
      <c r="G145" t="s">
        <v>186</v>
      </c>
      <c r="H145">
        <v>0</v>
      </c>
    </row>
    <row r="146" spans="1:8">
      <c r="A146">
        <v>5372</v>
      </c>
      <c r="B146" t="s">
        <v>2331</v>
      </c>
      <c r="C146">
        <v>5697</v>
      </c>
      <c r="D146" t="s">
        <v>2201</v>
      </c>
      <c r="E146" t="s">
        <v>2036</v>
      </c>
      <c r="F146">
        <v>202201</v>
      </c>
      <c r="G146" t="s">
        <v>2169</v>
      </c>
      <c r="H146">
        <v>313.3</v>
      </c>
    </row>
    <row r="147" spans="1:8">
      <c r="A147">
        <v>5372</v>
      </c>
      <c r="B147" t="s">
        <v>2331</v>
      </c>
      <c r="C147">
        <v>5697</v>
      </c>
      <c r="D147" t="s">
        <v>2201</v>
      </c>
      <c r="E147" t="s">
        <v>2036</v>
      </c>
      <c r="F147">
        <v>202201</v>
      </c>
      <c r="G147" t="s">
        <v>2166</v>
      </c>
      <c r="H147">
        <v>11.83</v>
      </c>
    </row>
    <row r="148" spans="1:8">
      <c r="A148">
        <v>5372</v>
      </c>
      <c r="B148" t="s">
        <v>2331</v>
      </c>
      <c r="C148">
        <v>5697</v>
      </c>
      <c r="D148" t="s">
        <v>2201</v>
      </c>
      <c r="E148" t="s">
        <v>2036</v>
      </c>
      <c r="F148">
        <v>202201</v>
      </c>
      <c r="G148" t="s">
        <v>2167</v>
      </c>
      <c r="H148">
        <v>21.22</v>
      </c>
    </row>
    <row r="149" spans="1:8">
      <c r="A149">
        <v>5372</v>
      </c>
      <c r="B149" t="s">
        <v>2331</v>
      </c>
      <c r="C149">
        <v>5697</v>
      </c>
      <c r="D149" t="s">
        <v>2201</v>
      </c>
      <c r="E149" t="s">
        <v>2036</v>
      </c>
      <c r="F149">
        <v>202201</v>
      </c>
      <c r="G149" t="s">
        <v>2168</v>
      </c>
      <c r="H149">
        <v>14.37</v>
      </c>
    </row>
    <row r="150" spans="1:8">
      <c r="A150">
        <v>5372</v>
      </c>
      <c r="B150" t="s">
        <v>2331</v>
      </c>
      <c r="C150">
        <v>5697</v>
      </c>
      <c r="D150" t="s">
        <v>2201</v>
      </c>
      <c r="E150" t="s">
        <v>2036</v>
      </c>
      <c r="F150">
        <v>202201</v>
      </c>
      <c r="G150" t="s">
        <v>2171</v>
      </c>
      <c r="H150">
        <v>36792.019999999997</v>
      </c>
    </row>
    <row r="151" spans="1:8">
      <c r="A151">
        <v>5372</v>
      </c>
      <c r="B151" t="s">
        <v>2331</v>
      </c>
      <c r="C151">
        <v>5697</v>
      </c>
      <c r="D151" t="s">
        <v>2201</v>
      </c>
      <c r="E151" t="s">
        <v>2036</v>
      </c>
      <c r="F151">
        <v>202202</v>
      </c>
      <c r="G151" t="s">
        <v>190</v>
      </c>
      <c r="H151">
        <v>3140342</v>
      </c>
    </row>
    <row r="152" spans="1:8">
      <c r="A152">
        <v>5372</v>
      </c>
      <c r="B152" t="s">
        <v>2331</v>
      </c>
      <c r="C152">
        <v>5697</v>
      </c>
      <c r="D152" t="s">
        <v>2201</v>
      </c>
      <c r="E152" t="s">
        <v>2036</v>
      </c>
      <c r="F152">
        <v>202202</v>
      </c>
      <c r="G152" t="s">
        <v>191</v>
      </c>
      <c r="H152">
        <v>331024</v>
      </c>
    </row>
    <row r="153" spans="1:8">
      <c r="A153">
        <v>5372</v>
      </c>
      <c r="B153" t="s">
        <v>2331</v>
      </c>
      <c r="C153">
        <v>5697</v>
      </c>
      <c r="D153" t="s">
        <v>2201</v>
      </c>
      <c r="E153" t="s">
        <v>2036</v>
      </c>
      <c r="F153">
        <v>202202</v>
      </c>
      <c r="G153" t="s">
        <v>176</v>
      </c>
      <c r="H153">
        <v>0</v>
      </c>
    </row>
    <row r="154" spans="1:8">
      <c r="A154">
        <v>5372</v>
      </c>
      <c r="B154" t="s">
        <v>2331</v>
      </c>
      <c r="C154">
        <v>5697</v>
      </c>
      <c r="D154" t="s">
        <v>2201</v>
      </c>
      <c r="E154" t="s">
        <v>2036</v>
      </c>
      <c r="F154">
        <v>202202</v>
      </c>
      <c r="G154" t="s">
        <v>178</v>
      </c>
      <c r="H154">
        <v>7100</v>
      </c>
    </row>
    <row r="155" spans="1:8">
      <c r="A155">
        <v>5372</v>
      </c>
      <c r="B155" t="s">
        <v>2331</v>
      </c>
      <c r="C155">
        <v>5697</v>
      </c>
      <c r="D155" t="s">
        <v>2201</v>
      </c>
      <c r="E155" t="s">
        <v>2036</v>
      </c>
      <c r="F155">
        <v>202202</v>
      </c>
      <c r="G155" t="s">
        <v>180</v>
      </c>
      <c r="H155">
        <v>6703.2</v>
      </c>
    </row>
    <row r="156" spans="1:8">
      <c r="A156">
        <v>5372</v>
      </c>
      <c r="B156" t="s">
        <v>2331</v>
      </c>
      <c r="C156">
        <v>5697</v>
      </c>
      <c r="D156" t="s">
        <v>2201</v>
      </c>
      <c r="E156" t="s">
        <v>2036</v>
      </c>
      <c r="F156">
        <v>202202</v>
      </c>
      <c r="G156" t="s">
        <v>182</v>
      </c>
      <c r="H156">
        <v>3191838</v>
      </c>
    </row>
    <row r="157" spans="1:8">
      <c r="A157">
        <v>5372</v>
      </c>
      <c r="B157" t="s">
        <v>2331</v>
      </c>
      <c r="C157">
        <v>5697</v>
      </c>
      <c r="D157" t="s">
        <v>2201</v>
      </c>
      <c r="E157" t="s">
        <v>2036</v>
      </c>
      <c r="F157">
        <v>202202</v>
      </c>
      <c r="G157" t="s">
        <v>184</v>
      </c>
      <c r="H157">
        <v>331024</v>
      </c>
    </row>
    <row r="158" spans="1:8">
      <c r="A158">
        <v>5372</v>
      </c>
      <c r="B158" t="s">
        <v>2331</v>
      </c>
      <c r="C158">
        <v>5697</v>
      </c>
      <c r="D158" t="s">
        <v>2201</v>
      </c>
      <c r="E158" t="s">
        <v>2036</v>
      </c>
      <c r="F158">
        <v>202202</v>
      </c>
      <c r="G158" t="s">
        <v>192</v>
      </c>
      <c r="H158">
        <v>0</v>
      </c>
    </row>
    <row r="159" spans="1:8">
      <c r="A159">
        <v>5372</v>
      </c>
      <c r="B159" t="s">
        <v>2331</v>
      </c>
      <c r="C159">
        <v>5697</v>
      </c>
      <c r="D159" t="s">
        <v>2201</v>
      </c>
      <c r="E159" t="s">
        <v>2036</v>
      </c>
      <c r="F159">
        <v>202202</v>
      </c>
      <c r="G159" t="s">
        <v>2170</v>
      </c>
      <c r="H159">
        <v>69434.48</v>
      </c>
    </row>
    <row r="160" spans="1:8">
      <c r="A160">
        <v>5372</v>
      </c>
      <c r="B160" t="s">
        <v>2331</v>
      </c>
      <c r="C160">
        <v>5697</v>
      </c>
      <c r="D160" t="s">
        <v>2201</v>
      </c>
      <c r="E160" t="s">
        <v>2036</v>
      </c>
      <c r="F160">
        <v>202202</v>
      </c>
      <c r="G160" t="s">
        <v>186</v>
      </c>
      <c r="H160">
        <v>51496</v>
      </c>
    </row>
    <row r="161" spans="1:8">
      <c r="A161">
        <v>5372</v>
      </c>
      <c r="B161" t="s">
        <v>2331</v>
      </c>
      <c r="C161">
        <v>5697</v>
      </c>
      <c r="D161" t="s">
        <v>2201</v>
      </c>
      <c r="E161" t="s">
        <v>2036</v>
      </c>
      <c r="F161">
        <v>202202</v>
      </c>
      <c r="G161" t="s">
        <v>2169</v>
      </c>
      <c r="H161">
        <v>313.3</v>
      </c>
    </row>
    <row r="162" spans="1:8">
      <c r="A162">
        <v>5372</v>
      </c>
      <c r="B162" t="s">
        <v>2331</v>
      </c>
      <c r="C162">
        <v>5697</v>
      </c>
      <c r="D162" t="s">
        <v>2201</v>
      </c>
      <c r="E162" t="s">
        <v>2036</v>
      </c>
      <c r="F162">
        <v>202202</v>
      </c>
      <c r="G162" t="s">
        <v>2166</v>
      </c>
      <c r="H162">
        <v>11.83</v>
      </c>
    </row>
    <row r="163" spans="1:8">
      <c r="A163">
        <v>5372</v>
      </c>
      <c r="B163" t="s">
        <v>2331</v>
      </c>
      <c r="C163">
        <v>5697</v>
      </c>
      <c r="D163" t="s">
        <v>2201</v>
      </c>
      <c r="E163" t="s">
        <v>2036</v>
      </c>
      <c r="F163">
        <v>202202</v>
      </c>
      <c r="G163" t="s">
        <v>2167</v>
      </c>
      <c r="H163">
        <v>21.22</v>
      </c>
    </row>
    <row r="164" spans="1:8">
      <c r="A164">
        <v>5372</v>
      </c>
      <c r="B164" t="s">
        <v>2331</v>
      </c>
      <c r="C164">
        <v>5697</v>
      </c>
      <c r="D164" t="s">
        <v>2201</v>
      </c>
      <c r="E164" t="s">
        <v>2036</v>
      </c>
      <c r="F164">
        <v>202202</v>
      </c>
      <c r="G164" t="s">
        <v>2168</v>
      </c>
      <c r="H164">
        <v>14.37</v>
      </c>
    </row>
    <row r="165" spans="1:8">
      <c r="A165">
        <v>5372</v>
      </c>
      <c r="B165" t="s">
        <v>2331</v>
      </c>
      <c r="C165">
        <v>5697</v>
      </c>
      <c r="D165" t="s">
        <v>2201</v>
      </c>
      <c r="E165" t="s">
        <v>2036</v>
      </c>
      <c r="F165">
        <v>202202</v>
      </c>
      <c r="G165" t="s">
        <v>2171</v>
      </c>
      <c r="H165">
        <v>1467959.65</v>
      </c>
    </row>
    <row r="166" spans="1:8">
      <c r="A166">
        <v>5372</v>
      </c>
      <c r="B166" t="s">
        <v>2331</v>
      </c>
      <c r="C166">
        <v>5697</v>
      </c>
      <c r="D166" t="s">
        <v>2201</v>
      </c>
      <c r="E166" t="s">
        <v>2036</v>
      </c>
      <c r="F166">
        <v>202202</v>
      </c>
      <c r="G166" t="s">
        <v>190</v>
      </c>
      <c r="H166">
        <v>247647</v>
      </c>
    </row>
    <row r="167" spans="1:8">
      <c r="A167">
        <v>5372</v>
      </c>
      <c r="B167" t="s">
        <v>2331</v>
      </c>
      <c r="C167">
        <v>5697</v>
      </c>
      <c r="D167" t="s">
        <v>2201</v>
      </c>
      <c r="E167" t="s">
        <v>2036</v>
      </c>
      <c r="F167">
        <v>202202</v>
      </c>
      <c r="G167" t="s">
        <v>191</v>
      </c>
      <c r="H167">
        <v>29032</v>
      </c>
    </row>
    <row r="168" spans="1:8">
      <c r="A168">
        <v>5372</v>
      </c>
      <c r="B168" t="s">
        <v>2331</v>
      </c>
      <c r="C168">
        <v>5697</v>
      </c>
      <c r="D168" t="s">
        <v>2201</v>
      </c>
      <c r="E168" t="s">
        <v>2036</v>
      </c>
      <c r="F168">
        <v>202202</v>
      </c>
      <c r="G168" t="s">
        <v>176</v>
      </c>
      <c r="H168">
        <v>0</v>
      </c>
    </row>
    <row r="169" spans="1:8">
      <c r="A169">
        <v>5372</v>
      </c>
      <c r="B169" t="s">
        <v>2331</v>
      </c>
      <c r="C169">
        <v>5697</v>
      </c>
      <c r="D169" t="s">
        <v>2201</v>
      </c>
      <c r="E169" t="s">
        <v>2036</v>
      </c>
      <c r="F169">
        <v>202202</v>
      </c>
      <c r="G169" t="s">
        <v>178</v>
      </c>
      <c r="H169">
        <v>1202.8800000000001</v>
      </c>
    </row>
    <row r="170" spans="1:8">
      <c r="A170">
        <v>5372</v>
      </c>
      <c r="B170" t="s">
        <v>2331</v>
      </c>
      <c r="C170">
        <v>5697</v>
      </c>
      <c r="D170" t="s">
        <v>2201</v>
      </c>
      <c r="E170" t="s">
        <v>2036</v>
      </c>
      <c r="F170">
        <v>202202</v>
      </c>
      <c r="G170" t="s">
        <v>180</v>
      </c>
      <c r="H170">
        <v>1075.2</v>
      </c>
    </row>
    <row r="171" spans="1:8">
      <c r="A171">
        <v>5372</v>
      </c>
      <c r="B171" t="s">
        <v>2331</v>
      </c>
      <c r="C171">
        <v>5697</v>
      </c>
      <c r="D171" t="s">
        <v>2201</v>
      </c>
      <c r="E171" t="s">
        <v>2036</v>
      </c>
      <c r="F171">
        <v>202202</v>
      </c>
      <c r="G171" t="s">
        <v>182</v>
      </c>
      <c r="H171">
        <v>247647</v>
      </c>
    </row>
    <row r="172" spans="1:8">
      <c r="A172">
        <v>5372</v>
      </c>
      <c r="B172" t="s">
        <v>2331</v>
      </c>
      <c r="C172">
        <v>5697</v>
      </c>
      <c r="D172" t="s">
        <v>2201</v>
      </c>
      <c r="E172" t="s">
        <v>2036</v>
      </c>
      <c r="F172">
        <v>202202</v>
      </c>
      <c r="G172" t="s">
        <v>184</v>
      </c>
      <c r="H172">
        <v>29032</v>
      </c>
    </row>
    <row r="173" spans="1:8">
      <c r="A173">
        <v>5372</v>
      </c>
      <c r="B173" t="s">
        <v>2331</v>
      </c>
      <c r="C173">
        <v>5697</v>
      </c>
      <c r="D173" t="s">
        <v>2201</v>
      </c>
      <c r="E173" t="s">
        <v>2036</v>
      </c>
      <c r="F173">
        <v>202202</v>
      </c>
      <c r="G173" t="s">
        <v>192</v>
      </c>
      <c r="H173">
        <v>0</v>
      </c>
    </row>
    <row r="174" spans="1:8">
      <c r="A174">
        <v>5372</v>
      </c>
      <c r="B174" t="s">
        <v>2331</v>
      </c>
      <c r="C174">
        <v>5697</v>
      </c>
      <c r="D174" t="s">
        <v>2201</v>
      </c>
      <c r="E174" t="s">
        <v>2036</v>
      </c>
      <c r="F174">
        <v>202202</v>
      </c>
      <c r="G174" t="s">
        <v>2170</v>
      </c>
      <c r="H174">
        <v>6340.37</v>
      </c>
    </row>
    <row r="175" spans="1:8">
      <c r="A175">
        <v>5372</v>
      </c>
      <c r="B175" t="s">
        <v>2331</v>
      </c>
      <c r="C175">
        <v>5697</v>
      </c>
      <c r="D175" t="s">
        <v>2201</v>
      </c>
      <c r="E175" t="s">
        <v>2036</v>
      </c>
      <c r="F175">
        <v>202202</v>
      </c>
      <c r="G175" t="s">
        <v>186</v>
      </c>
      <c r="H175">
        <v>0</v>
      </c>
    </row>
    <row r="176" spans="1:8">
      <c r="A176">
        <v>5372</v>
      </c>
      <c r="B176" t="s">
        <v>2331</v>
      </c>
      <c r="C176">
        <v>5697</v>
      </c>
      <c r="D176" t="s">
        <v>2201</v>
      </c>
      <c r="E176" t="s">
        <v>2036</v>
      </c>
      <c r="F176">
        <v>202202</v>
      </c>
      <c r="G176" t="s">
        <v>2169</v>
      </c>
      <c r="H176">
        <v>313.3</v>
      </c>
    </row>
    <row r="177" spans="1:8">
      <c r="A177">
        <v>5372</v>
      </c>
      <c r="B177" t="s">
        <v>2331</v>
      </c>
      <c r="C177">
        <v>5697</v>
      </c>
      <c r="D177" t="s">
        <v>2201</v>
      </c>
      <c r="E177" t="s">
        <v>2036</v>
      </c>
      <c r="F177">
        <v>202202</v>
      </c>
      <c r="G177" t="s">
        <v>2166</v>
      </c>
      <c r="H177">
        <v>11.83</v>
      </c>
    </row>
    <row r="178" spans="1:8">
      <c r="A178">
        <v>5372</v>
      </c>
      <c r="B178" t="s">
        <v>2331</v>
      </c>
      <c r="C178">
        <v>5697</v>
      </c>
      <c r="D178" t="s">
        <v>2201</v>
      </c>
      <c r="E178" t="s">
        <v>2036</v>
      </c>
      <c r="F178">
        <v>202202</v>
      </c>
      <c r="G178" t="s">
        <v>2167</v>
      </c>
      <c r="H178">
        <v>21.22</v>
      </c>
    </row>
    <row r="179" spans="1:8">
      <c r="A179">
        <v>5372</v>
      </c>
      <c r="B179" t="s">
        <v>2331</v>
      </c>
      <c r="C179">
        <v>5697</v>
      </c>
      <c r="D179" t="s">
        <v>2201</v>
      </c>
      <c r="E179" t="s">
        <v>2036</v>
      </c>
      <c r="F179">
        <v>202202</v>
      </c>
      <c r="G179" t="s">
        <v>2168</v>
      </c>
      <c r="H179">
        <v>14.37</v>
      </c>
    </row>
    <row r="180" spans="1:8">
      <c r="A180">
        <v>5372</v>
      </c>
      <c r="B180" t="s">
        <v>2331</v>
      </c>
      <c r="C180">
        <v>5697</v>
      </c>
      <c r="D180" t="s">
        <v>2201</v>
      </c>
      <c r="E180" t="s">
        <v>2036</v>
      </c>
      <c r="F180">
        <v>202202</v>
      </c>
      <c r="G180" t="s">
        <v>2171</v>
      </c>
      <c r="H180">
        <v>134045.56</v>
      </c>
    </row>
    <row r="181" spans="1:8">
      <c r="A181">
        <v>5372</v>
      </c>
      <c r="B181" t="s">
        <v>2331</v>
      </c>
      <c r="C181">
        <v>5697</v>
      </c>
      <c r="D181" t="s">
        <v>2201</v>
      </c>
      <c r="E181" t="s">
        <v>2036</v>
      </c>
      <c r="F181">
        <v>202203</v>
      </c>
      <c r="G181" t="s">
        <v>190</v>
      </c>
      <c r="H181">
        <v>86431</v>
      </c>
    </row>
    <row r="182" spans="1:8">
      <c r="A182">
        <v>5372</v>
      </c>
      <c r="B182" t="s">
        <v>2331</v>
      </c>
      <c r="C182">
        <v>5697</v>
      </c>
      <c r="D182" t="s">
        <v>2201</v>
      </c>
      <c r="E182" t="s">
        <v>2036</v>
      </c>
      <c r="F182">
        <v>202203</v>
      </c>
      <c r="G182" t="s">
        <v>191</v>
      </c>
      <c r="H182">
        <v>0</v>
      </c>
    </row>
    <row r="183" spans="1:8">
      <c r="A183">
        <v>5372</v>
      </c>
      <c r="B183" t="s">
        <v>2331</v>
      </c>
      <c r="C183">
        <v>5697</v>
      </c>
      <c r="D183" t="s">
        <v>2201</v>
      </c>
      <c r="E183" t="s">
        <v>2036</v>
      </c>
      <c r="F183">
        <v>202203</v>
      </c>
      <c r="G183" t="s">
        <v>176</v>
      </c>
      <c r="H183">
        <v>0</v>
      </c>
    </row>
    <row r="184" spans="1:8">
      <c r="A184">
        <v>5372</v>
      </c>
      <c r="B184" t="s">
        <v>2331</v>
      </c>
      <c r="C184">
        <v>5697</v>
      </c>
      <c r="D184" t="s">
        <v>2201</v>
      </c>
      <c r="E184" t="s">
        <v>2036</v>
      </c>
      <c r="F184">
        <v>202203</v>
      </c>
      <c r="G184" t="s">
        <v>178</v>
      </c>
      <c r="H184">
        <v>7736.4</v>
      </c>
    </row>
    <row r="185" spans="1:8">
      <c r="A185">
        <v>5372</v>
      </c>
      <c r="B185" t="s">
        <v>2331</v>
      </c>
      <c r="C185">
        <v>5697</v>
      </c>
      <c r="D185" t="s">
        <v>2201</v>
      </c>
      <c r="E185" t="s">
        <v>2036</v>
      </c>
      <c r="F185">
        <v>202203</v>
      </c>
      <c r="G185" t="s">
        <v>180</v>
      </c>
      <c r="H185">
        <v>7509.6</v>
      </c>
    </row>
    <row r="186" spans="1:8">
      <c r="A186">
        <v>5372</v>
      </c>
      <c r="B186" t="s">
        <v>2331</v>
      </c>
      <c r="C186">
        <v>5697</v>
      </c>
      <c r="D186" t="s">
        <v>2201</v>
      </c>
      <c r="E186" t="s">
        <v>2036</v>
      </c>
      <c r="F186">
        <v>202203</v>
      </c>
      <c r="G186" t="s">
        <v>182</v>
      </c>
      <c r="H186">
        <v>2956809</v>
      </c>
    </row>
    <row r="187" spans="1:8">
      <c r="A187">
        <v>5372</v>
      </c>
      <c r="B187" t="s">
        <v>2331</v>
      </c>
      <c r="C187">
        <v>5697</v>
      </c>
      <c r="D187" t="s">
        <v>2201</v>
      </c>
      <c r="E187" t="s">
        <v>2036</v>
      </c>
      <c r="F187">
        <v>202203</v>
      </c>
      <c r="G187" t="s">
        <v>184</v>
      </c>
      <c r="H187">
        <v>320719</v>
      </c>
    </row>
    <row r="188" spans="1:8">
      <c r="A188">
        <v>5372</v>
      </c>
      <c r="B188" t="s">
        <v>2331</v>
      </c>
      <c r="C188">
        <v>5697</v>
      </c>
      <c r="D188" t="s">
        <v>2201</v>
      </c>
      <c r="E188" t="s">
        <v>2036</v>
      </c>
      <c r="F188">
        <v>202203</v>
      </c>
      <c r="G188" t="s">
        <v>192</v>
      </c>
      <c r="H188">
        <v>0</v>
      </c>
    </row>
    <row r="189" spans="1:8">
      <c r="A189">
        <v>5372</v>
      </c>
      <c r="B189" t="s">
        <v>2331</v>
      </c>
      <c r="C189">
        <v>5697</v>
      </c>
      <c r="D189" t="s">
        <v>2201</v>
      </c>
      <c r="E189" t="s">
        <v>2036</v>
      </c>
      <c r="F189">
        <v>202203</v>
      </c>
      <c r="G189" t="s">
        <v>2170</v>
      </c>
      <c r="H189">
        <v>11581.44</v>
      </c>
    </row>
    <row r="190" spans="1:8">
      <c r="A190">
        <v>5372</v>
      </c>
      <c r="B190" t="s">
        <v>2331</v>
      </c>
      <c r="C190">
        <v>5697</v>
      </c>
      <c r="D190" t="s">
        <v>2201</v>
      </c>
      <c r="E190" t="s">
        <v>2036</v>
      </c>
      <c r="F190">
        <v>202203</v>
      </c>
      <c r="G190" t="s">
        <v>186</v>
      </c>
      <c r="H190">
        <v>0</v>
      </c>
    </row>
    <row r="191" spans="1:8">
      <c r="A191">
        <v>5372</v>
      </c>
      <c r="B191" t="s">
        <v>2331</v>
      </c>
      <c r="C191">
        <v>5697</v>
      </c>
      <c r="D191" t="s">
        <v>2201</v>
      </c>
      <c r="E191" t="s">
        <v>2036</v>
      </c>
      <c r="F191">
        <v>202203</v>
      </c>
      <c r="G191" t="s">
        <v>2169</v>
      </c>
      <c r="H191">
        <v>313.3</v>
      </c>
    </row>
    <row r="192" spans="1:8">
      <c r="A192">
        <v>5372</v>
      </c>
      <c r="B192" t="s">
        <v>2331</v>
      </c>
      <c r="C192">
        <v>5697</v>
      </c>
      <c r="D192" t="s">
        <v>2201</v>
      </c>
      <c r="E192" t="s">
        <v>2036</v>
      </c>
      <c r="F192">
        <v>202203</v>
      </c>
      <c r="G192" t="s">
        <v>2166</v>
      </c>
      <c r="H192">
        <v>11.83</v>
      </c>
    </row>
    <row r="193" spans="1:8">
      <c r="A193">
        <v>5372</v>
      </c>
      <c r="B193" t="s">
        <v>2331</v>
      </c>
      <c r="C193">
        <v>5697</v>
      </c>
      <c r="D193" t="s">
        <v>2201</v>
      </c>
      <c r="E193" t="s">
        <v>2036</v>
      </c>
      <c r="F193">
        <v>202203</v>
      </c>
      <c r="G193" t="s">
        <v>2167</v>
      </c>
      <c r="H193">
        <v>21.22</v>
      </c>
    </row>
    <row r="194" spans="1:8">
      <c r="A194">
        <v>5372</v>
      </c>
      <c r="B194" t="s">
        <v>2331</v>
      </c>
      <c r="C194">
        <v>5697</v>
      </c>
      <c r="D194" t="s">
        <v>2201</v>
      </c>
      <c r="E194" t="s">
        <v>2036</v>
      </c>
      <c r="F194">
        <v>202203</v>
      </c>
      <c r="G194" t="s">
        <v>2168</v>
      </c>
      <c r="H194">
        <v>14.37</v>
      </c>
    </row>
    <row r="195" spans="1:8">
      <c r="A195">
        <v>5372</v>
      </c>
      <c r="B195" t="s">
        <v>2331</v>
      </c>
      <c r="C195">
        <v>5697</v>
      </c>
      <c r="D195" t="s">
        <v>2201</v>
      </c>
      <c r="E195" t="s">
        <v>2036</v>
      </c>
      <c r="F195">
        <v>202203</v>
      </c>
      <c r="G195" t="s">
        <v>2171</v>
      </c>
      <c r="H195">
        <v>427398.74</v>
      </c>
    </row>
    <row r="196" spans="1:8">
      <c r="A196">
        <v>5372</v>
      </c>
      <c r="B196" t="s">
        <v>2331</v>
      </c>
      <c r="C196">
        <v>5697</v>
      </c>
      <c r="D196" t="s">
        <v>2201</v>
      </c>
      <c r="E196" t="s">
        <v>2036</v>
      </c>
      <c r="F196">
        <v>202203</v>
      </c>
      <c r="G196" t="s">
        <v>190</v>
      </c>
      <c r="H196">
        <v>13569</v>
      </c>
    </row>
    <row r="197" spans="1:8">
      <c r="A197">
        <v>5372</v>
      </c>
      <c r="B197" t="s">
        <v>2331</v>
      </c>
      <c r="C197">
        <v>5697</v>
      </c>
      <c r="D197" t="s">
        <v>2201</v>
      </c>
      <c r="E197" t="s">
        <v>2036</v>
      </c>
      <c r="F197">
        <v>202203</v>
      </c>
      <c r="G197" t="s">
        <v>191</v>
      </c>
      <c r="H197">
        <v>0</v>
      </c>
    </row>
    <row r="198" spans="1:8">
      <c r="A198">
        <v>5372</v>
      </c>
      <c r="B198" t="s">
        <v>2331</v>
      </c>
      <c r="C198">
        <v>5697</v>
      </c>
      <c r="D198" t="s">
        <v>2201</v>
      </c>
      <c r="E198" t="s">
        <v>2036</v>
      </c>
      <c r="F198">
        <v>202203</v>
      </c>
      <c r="G198" t="s">
        <v>176</v>
      </c>
      <c r="H198">
        <v>0</v>
      </c>
    </row>
    <row r="199" spans="1:8">
      <c r="A199">
        <v>5372</v>
      </c>
      <c r="B199" t="s">
        <v>2331</v>
      </c>
      <c r="C199">
        <v>5697</v>
      </c>
      <c r="D199" t="s">
        <v>2201</v>
      </c>
      <c r="E199" t="s">
        <v>2036</v>
      </c>
      <c r="F199">
        <v>202203</v>
      </c>
      <c r="G199" t="s">
        <v>178</v>
      </c>
      <c r="H199">
        <v>2909.76</v>
      </c>
    </row>
    <row r="200" spans="1:8">
      <c r="A200">
        <v>5372</v>
      </c>
      <c r="B200" t="s">
        <v>2331</v>
      </c>
      <c r="C200">
        <v>5697</v>
      </c>
      <c r="D200" t="s">
        <v>2201</v>
      </c>
      <c r="E200" t="s">
        <v>2036</v>
      </c>
      <c r="F200">
        <v>202203</v>
      </c>
      <c r="G200" t="s">
        <v>180</v>
      </c>
      <c r="H200">
        <v>2150.4</v>
      </c>
    </row>
    <row r="201" spans="1:8">
      <c r="A201">
        <v>5372</v>
      </c>
      <c r="B201" t="s">
        <v>2331</v>
      </c>
      <c r="C201">
        <v>5697</v>
      </c>
      <c r="D201" t="s">
        <v>2201</v>
      </c>
      <c r="E201" t="s">
        <v>2036</v>
      </c>
      <c r="F201">
        <v>202203</v>
      </c>
      <c r="G201" t="s">
        <v>182</v>
      </c>
      <c r="H201">
        <v>468093</v>
      </c>
    </row>
    <row r="202" spans="1:8">
      <c r="A202">
        <v>5372</v>
      </c>
      <c r="B202" t="s">
        <v>2331</v>
      </c>
      <c r="C202">
        <v>5697</v>
      </c>
      <c r="D202" t="s">
        <v>2201</v>
      </c>
      <c r="E202" t="s">
        <v>2036</v>
      </c>
      <c r="F202">
        <v>202203</v>
      </c>
      <c r="G202" t="s">
        <v>184</v>
      </c>
      <c r="H202">
        <v>46453</v>
      </c>
    </row>
    <row r="203" spans="1:8">
      <c r="A203">
        <v>5372</v>
      </c>
      <c r="B203" t="s">
        <v>2331</v>
      </c>
      <c r="C203">
        <v>5697</v>
      </c>
      <c r="D203" t="s">
        <v>2201</v>
      </c>
      <c r="E203" t="s">
        <v>2036</v>
      </c>
      <c r="F203">
        <v>202203</v>
      </c>
      <c r="G203" t="s">
        <v>192</v>
      </c>
      <c r="H203">
        <v>0</v>
      </c>
    </row>
    <row r="204" spans="1:8">
      <c r="A204">
        <v>5372</v>
      </c>
      <c r="B204" t="s">
        <v>2331</v>
      </c>
      <c r="C204">
        <v>5697</v>
      </c>
      <c r="D204" t="s">
        <v>2201</v>
      </c>
      <c r="E204" t="s">
        <v>2036</v>
      </c>
      <c r="F204">
        <v>202203</v>
      </c>
      <c r="G204" t="s">
        <v>2170</v>
      </c>
      <c r="H204">
        <v>5328.26</v>
      </c>
    </row>
    <row r="205" spans="1:8">
      <c r="A205">
        <v>5372</v>
      </c>
      <c r="B205" t="s">
        <v>2331</v>
      </c>
      <c r="C205">
        <v>5697</v>
      </c>
      <c r="D205" t="s">
        <v>2201</v>
      </c>
      <c r="E205" t="s">
        <v>2036</v>
      </c>
      <c r="F205">
        <v>202203</v>
      </c>
      <c r="G205" t="s">
        <v>186</v>
      </c>
      <c r="H205">
        <v>0</v>
      </c>
    </row>
    <row r="206" spans="1:8">
      <c r="A206">
        <v>5372</v>
      </c>
      <c r="B206" t="s">
        <v>2331</v>
      </c>
      <c r="C206">
        <v>5697</v>
      </c>
      <c r="D206" t="s">
        <v>2201</v>
      </c>
      <c r="E206" t="s">
        <v>2036</v>
      </c>
      <c r="F206">
        <v>202203</v>
      </c>
      <c r="G206" t="s">
        <v>2169</v>
      </c>
      <c r="H206">
        <v>313.3</v>
      </c>
    </row>
    <row r="207" spans="1:8">
      <c r="A207">
        <v>5372</v>
      </c>
      <c r="B207" t="s">
        <v>2331</v>
      </c>
      <c r="C207">
        <v>5697</v>
      </c>
      <c r="D207" t="s">
        <v>2201</v>
      </c>
      <c r="E207" t="s">
        <v>2036</v>
      </c>
      <c r="F207">
        <v>202203</v>
      </c>
      <c r="G207" t="s">
        <v>2166</v>
      </c>
      <c r="H207">
        <v>11.83</v>
      </c>
    </row>
    <row r="208" spans="1:8">
      <c r="A208">
        <v>5372</v>
      </c>
      <c r="B208" t="s">
        <v>2331</v>
      </c>
      <c r="C208">
        <v>5697</v>
      </c>
      <c r="D208" t="s">
        <v>2201</v>
      </c>
      <c r="E208" t="s">
        <v>2036</v>
      </c>
      <c r="F208">
        <v>202203</v>
      </c>
      <c r="G208" t="s">
        <v>2167</v>
      </c>
      <c r="H208">
        <v>21.22</v>
      </c>
    </row>
    <row r="209" spans="1:8">
      <c r="A209">
        <v>5372</v>
      </c>
      <c r="B209" t="s">
        <v>2331</v>
      </c>
      <c r="C209">
        <v>5697</v>
      </c>
      <c r="D209" t="s">
        <v>2201</v>
      </c>
      <c r="E209" t="s">
        <v>2036</v>
      </c>
      <c r="F209">
        <v>202203</v>
      </c>
      <c r="G209" t="s">
        <v>2168</v>
      </c>
      <c r="H209">
        <v>14.37</v>
      </c>
    </row>
    <row r="210" spans="1:8">
      <c r="A210">
        <v>5372</v>
      </c>
      <c r="B210" t="s">
        <v>2331</v>
      </c>
      <c r="C210">
        <v>5697</v>
      </c>
      <c r="D210" t="s">
        <v>2201</v>
      </c>
      <c r="E210" t="s">
        <v>2036</v>
      </c>
      <c r="F210">
        <v>202203</v>
      </c>
      <c r="G210" t="s">
        <v>2171</v>
      </c>
      <c r="H210">
        <v>186303.26</v>
      </c>
    </row>
    <row r="211" spans="1:8">
      <c r="A211">
        <v>5372</v>
      </c>
      <c r="B211" t="s">
        <v>2331</v>
      </c>
      <c r="C211">
        <v>5697</v>
      </c>
      <c r="D211" t="s">
        <v>2201</v>
      </c>
      <c r="E211" t="s">
        <v>2036</v>
      </c>
      <c r="F211">
        <v>202204</v>
      </c>
      <c r="G211" t="s">
        <v>190</v>
      </c>
      <c r="H211">
        <v>100000</v>
      </c>
    </row>
    <row r="212" spans="1:8">
      <c r="A212">
        <v>5372</v>
      </c>
      <c r="B212" t="s">
        <v>2331</v>
      </c>
      <c r="C212">
        <v>5697</v>
      </c>
      <c r="D212" t="s">
        <v>2201</v>
      </c>
      <c r="E212" t="s">
        <v>2036</v>
      </c>
      <c r="F212">
        <v>202204</v>
      </c>
      <c r="G212" t="s">
        <v>191</v>
      </c>
      <c r="H212">
        <v>0</v>
      </c>
    </row>
    <row r="213" spans="1:8">
      <c r="A213">
        <v>5372</v>
      </c>
      <c r="B213" t="s">
        <v>2331</v>
      </c>
      <c r="C213">
        <v>5697</v>
      </c>
      <c r="D213" t="s">
        <v>2201</v>
      </c>
      <c r="E213" t="s">
        <v>2036</v>
      </c>
      <c r="F213">
        <v>202204</v>
      </c>
      <c r="G213" t="s">
        <v>176</v>
      </c>
      <c r="H213">
        <v>-25087.919999999998</v>
      </c>
    </row>
    <row r="214" spans="1:8">
      <c r="A214">
        <v>5372</v>
      </c>
      <c r="B214" t="s">
        <v>2331</v>
      </c>
      <c r="C214">
        <v>5697</v>
      </c>
      <c r="D214" t="s">
        <v>2201</v>
      </c>
      <c r="E214" t="s">
        <v>2036</v>
      </c>
      <c r="F214">
        <v>202204</v>
      </c>
      <c r="G214" t="s">
        <v>178</v>
      </c>
      <c r="H214">
        <v>7100</v>
      </c>
    </row>
    <row r="215" spans="1:8">
      <c r="A215">
        <v>5372</v>
      </c>
      <c r="B215" t="s">
        <v>2331</v>
      </c>
      <c r="C215">
        <v>5697</v>
      </c>
      <c r="D215" t="s">
        <v>2201</v>
      </c>
      <c r="E215" t="s">
        <v>2036</v>
      </c>
      <c r="F215">
        <v>202204</v>
      </c>
      <c r="G215" t="s">
        <v>180</v>
      </c>
      <c r="H215">
        <v>5900</v>
      </c>
    </row>
    <row r="216" spans="1:8">
      <c r="A216">
        <v>5372</v>
      </c>
      <c r="B216" t="s">
        <v>2331</v>
      </c>
      <c r="C216">
        <v>5697</v>
      </c>
      <c r="D216" t="s">
        <v>2201</v>
      </c>
      <c r="E216" t="s">
        <v>2036</v>
      </c>
      <c r="F216">
        <v>202204</v>
      </c>
      <c r="G216" t="s">
        <v>182</v>
      </c>
      <c r="H216">
        <v>2704905</v>
      </c>
    </row>
    <row r="217" spans="1:8">
      <c r="A217">
        <v>5372</v>
      </c>
      <c r="B217" t="s">
        <v>2331</v>
      </c>
      <c r="C217">
        <v>5697</v>
      </c>
      <c r="D217" t="s">
        <v>2201</v>
      </c>
      <c r="E217" t="s">
        <v>2036</v>
      </c>
      <c r="F217">
        <v>202204</v>
      </c>
      <c r="G217" t="s">
        <v>184</v>
      </c>
      <c r="H217">
        <v>250419</v>
      </c>
    </row>
    <row r="218" spans="1:8">
      <c r="A218">
        <v>5372</v>
      </c>
      <c r="B218" t="s">
        <v>2331</v>
      </c>
      <c r="C218">
        <v>5697</v>
      </c>
      <c r="D218" t="s">
        <v>2201</v>
      </c>
      <c r="E218" t="s">
        <v>2036</v>
      </c>
      <c r="F218">
        <v>202204</v>
      </c>
      <c r="G218" t="s">
        <v>192</v>
      </c>
      <c r="H218">
        <v>0</v>
      </c>
    </row>
    <row r="219" spans="1:8">
      <c r="A219">
        <v>5372</v>
      </c>
      <c r="B219" t="s">
        <v>2331</v>
      </c>
      <c r="C219">
        <v>5697</v>
      </c>
      <c r="D219" t="s">
        <v>2201</v>
      </c>
      <c r="E219" t="s">
        <v>2036</v>
      </c>
      <c r="F219">
        <v>202204</v>
      </c>
      <c r="G219" t="s">
        <v>2170</v>
      </c>
      <c r="H219">
        <v>9596.82</v>
      </c>
    </row>
    <row r="220" spans="1:8">
      <c r="A220">
        <v>5372</v>
      </c>
      <c r="B220" t="s">
        <v>2331</v>
      </c>
      <c r="C220">
        <v>5697</v>
      </c>
      <c r="D220" t="s">
        <v>2201</v>
      </c>
      <c r="E220" t="s">
        <v>2036</v>
      </c>
      <c r="F220">
        <v>202204</v>
      </c>
      <c r="G220" t="s">
        <v>186</v>
      </c>
      <c r="H220">
        <v>0</v>
      </c>
    </row>
    <row r="221" spans="1:8">
      <c r="A221">
        <v>5372</v>
      </c>
      <c r="B221" t="s">
        <v>2331</v>
      </c>
      <c r="C221">
        <v>5697</v>
      </c>
      <c r="D221" t="s">
        <v>2201</v>
      </c>
      <c r="E221" t="s">
        <v>2036</v>
      </c>
      <c r="F221">
        <v>202204</v>
      </c>
      <c r="G221" t="s">
        <v>2169</v>
      </c>
      <c r="H221">
        <v>313.3</v>
      </c>
    </row>
    <row r="222" spans="1:8">
      <c r="A222">
        <v>5372</v>
      </c>
      <c r="B222" t="s">
        <v>2331</v>
      </c>
      <c r="C222">
        <v>5697</v>
      </c>
      <c r="D222" t="s">
        <v>2201</v>
      </c>
      <c r="E222" t="s">
        <v>2036</v>
      </c>
      <c r="F222">
        <v>202204</v>
      </c>
      <c r="G222" t="s">
        <v>2166</v>
      </c>
      <c r="H222">
        <v>11.83</v>
      </c>
    </row>
    <row r="223" spans="1:8">
      <c r="A223">
        <v>5372</v>
      </c>
      <c r="B223" t="s">
        <v>2331</v>
      </c>
      <c r="C223">
        <v>5697</v>
      </c>
      <c r="D223" t="s">
        <v>2201</v>
      </c>
      <c r="E223" t="s">
        <v>2036</v>
      </c>
      <c r="F223">
        <v>202204</v>
      </c>
      <c r="G223" t="s">
        <v>2167</v>
      </c>
      <c r="H223">
        <v>21.22</v>
      </c>
    </row>
    <row r="224" spans="1:8">
      <c r="A224">
        <v>5372</v>
      </c>
      <c r="B224" t="s">
        <v>2331</v>
      </c>
      <c r="C224">
        <v>5697</v>
      </c>
      <c r="D224" t="s">
        <v>2201</v>
      </c>
      <c r="E224" t="s">
        <v>2036</v>
      </c>
      <c r="F224">
        <v>202204</v>
      </c>
      <c r="G224" t="s">
        <v>2168</v>
      </c>
      <c r="H224">
        <v>14.37</v>
      </c>
    </row>
    <row r="225" spans="1:8">
      <c r="A225">
        <v>5372</v>
      </c>
      <c r="B225" t="s">
        <v>2331</v>
      </c>
      <c r="C225">
        <v>5697</v>
      </c>
      <c r="D225" t="s">
        <v>2201</v>
      </c>
      <c r="E225" t="s">
        <v>2036</v>
      </c>
      <c r="F225">
        <v>202204</v>
      </c>
      <c r="G225" t="s">
        <v>2171</v>
      </c>
      <c r="H225">
        <v>304781.86</v>
      </c>
    </row>
    <row r="226" spans="1:8">
      <c r="A226">
        <v>5372</v>
      </c>
      <c r="B226" t="s">
        <v>2331</v>
      </c>
      <c r="C226">
        <v>5697</v>
      </c>
      <c r="D226" t="s">
        <v>2201</v>
      </c>
      <c r="E226" t="s">
        <v>2036</v>
      </c>
      <c r="F226">
        <v>202204</v>
      </c>
      <c r="G226" t="s">
        <v>190</v>
      </c>
      <c r="H226">
        <v>0</v>
      </c>
    </row>
    <row r="227" spans="1:8">
      <c r="A227">
        <v>5372</v>
      </c>
      <c r="B227" t="s">
        <v>2331</v>
      </c>
      <c r="C227">
        <v>5697</v>
      </c>
      <c r="D227" t="s">
        <v>2201</v>
      </c>
      <c r="E227" t="s">
        <v>2036</v>
      </c>
      <c r="F227">
        <v>202204</v>
      </c>
      <c r="G227" t="s">
        <v>191</v>
      </c>
      <c r="H227">
        <v>0</v>
      </c>
    </row>
    <row r="228" spans="1:8">
      <c r="A228">
        <v>5372</v>
      </c>
      <c r="B228" t="s">
        <v>2331</v>
      </c>
      <c r="C228">
        <v>5697</v>
      </c>
      <c r="D228" t="s">
        <v>2201</v>
      </c>
      <c r="E228" t="s">
        <v>2036</v>
      </c>
      <c r="F228">
        <v>202204</v>
      </c>
      <c r="G228" t="s">
        <v>176</v>
      </c>
      <c r="H228">
        <v>0</v>
      </c>
    </row>
    <row r="229" spans="1:8">
      <c r="A229">
        <v>5372</v>
      </c>
      <c r="B229" t="s">
        <v>2331</v>
      </c>
      <c r="C229">
        <v>5697</v>
      </c>
      <c r="D229" t="s">
        <v>2201</v>
      </c>
      <c r="E229" t="s">
        <v>2036</v>
      </c>
      <c r="F229">
        <v>202204</v>
      </c>
      <c r="G229" t="s">
        <v>178</v>
      </c>
      <c r="H229">
        <v>3500</v>
      </c>
    </row>
    <row r="230" spans="1:8">
      <c r="A230">
        <v>5372</v>
      </c>
      <c r="B230" t="s">
        <v>2331</v>
      </c>
      <c r="C230">
        <v>5697</v>
      </c>
      <c r="D230" t="s">
        <v>2201</v>
      </c>
      <c r="E230" t="s">
        <v>2036</v>
      </c>
      <c r="F230">
        <v>202204</v>
      </c>
      <c r="G230" t="s">
        <v>180</v>
      </c>
      <c r="H230">
        <v>2849.28</v>
      </c>
    </row>
    <row r="231" spans="1:8">
      <c r="A231">
        <v>5372</v>
      </c>
      <c r="B231" t="s">
        <v>2331</v>
      </c>
      <c r="C231">
        <v>5697</v>
      </c>
      <c r="D231" t="s">
        <v>2201</v>
      </c>
      <c r="E231" t="s">
        <v>2036</v>
      </c>
      <c r="F231">
        <v>202204</v>
      </c>
      <c r="G231" t="s">
        <v>182</v>
      </c>
      <c r="H231">
        <v>1631688</v>
      </c>
    </row>
    <row r="232" spans="1:8">
      <c r="A232">
        <v>5372</v>
      </c>
      <c r="B232" t="s">
        <v>2331</v>
      </c>
      <c r="C232">
        <v>5697</v>
      </c>
      <c r="D232" t="s">
        <v>2201</v>
      </c>
      <c r="E232" t="s">
        <v>2036</v>
      </c>
      <c r="F232">
        <v>202204</v>
      </c>
      <c r="G232" t="s">
        <v>184</v>
      </c>
      <c r="H232">
        <v>123723</v>
      </c>
    </row>
    <row r="233" spans="1:8">
      <c r="A233">
        <v>5372</v>
      </c>
      <c r="B233" t="s">
        <v>2331</v>
      </c>
      <c r="C233">
        <v>5697</v>
      </c>
      <c r="D233" t="s">
        <v>2201</v>
      </c>
      <c r="E233" t="s">
        <v>2036</v>
      </c>
      <c r="F233">
        <v>202204</v>
      </c>
      <c r="G233" t="s">
        <v>192</v>
      </c>
      <c r="H233">
        <v>0</v>
      </c>
    </row>
    <row r="234" spans="1:8">
      <c r="A234">
        <v>5372</v>
      </c>
      <c r="B234" t="s">
        <v>2331</v>
      </c>
      <c r="C234">
        <v>5697</v>
      </c>
      <c r="D234" t="s">
        <v>2201</v>
      </c>
      <c r="E234" t="s">
        <v>2036</v>
      </c>
      <c r="F234">
        <v>202204</v>
      </c>
      <c r="G234" t="s">
        <v>2170</v>
      </c>
      <c r="H234">
        <v>4309.99</v>
      </c>
    </row>
    <row r="235" spans="1:8">
      <c r="A235">
        <v>5372</v>
      </c>
      <c r="B235" t="s">
        <v>2331</v>
      </c>
      <c r="C235">
        <v>5697</v>
      </c>
      <c r="D235" t="s">
        <v>2201</v>
      </c>
      <c r="E235" t="s">
        <v>2036</v>
      </c>
      <c r="F235">
        <v>202204</v>
      </c>
      <c r="G235" t="s">
        <v>186</v>
      </c>
      <c r="H235">
        <v>0</v>
      </c>
    </row>
    <row r="236" spans="1:8">
      <c r="A236">
        <v>5372</v>
      </c>
      <c r="B236" t="s">
        <v>2331</v>
      </c>
      <c r="C236">
        <v>5697</v>
      </c>
      <c r="D236" t="s">
        <v>2201</v>
      </c>
      <c r="E236" t="s">
        <v>2036</v>
      </c>
      <c r="F236">
        <v>202204</v>
      </c>
      <c r="G236" t="s">
        <v>2169</v>
      </c>
      <c r="H236">
        <v>313.3</v>
      </c>
    </row>
    <row r="237" spans="1:8">
      <c r="A237">
        <v>5372</v>
      </c>
      <c r="B237" t="s">
        <v>2331</v>
      </c>
      <c r="C237">
        <v>5697</v>
      </c>
      <c r="D237" t="s">
        <v>2201</v>
      </c>
      <c r="E237" t="s">
        <v>2036</v>
      </c>
      <c r="F237">
        <v>202204</v>
      </c>
      <c r="G237" t="s">
        <v>2166</v>
      </c>
      <c r="H237">
        <v>11.83</v>
      </c>
    </row>
    <row r="238" spans="1:8">
      <c r="A238">
        <v>5372</v>
      </c>
      <c r="B238" t="s">
        <v>2331</v>
      </c>
      <c r="C238">
        <v>5697</v>
      </c>
      <c r="D238" t="s">
        <v>2201</v>
      </c>
      <c r="E238" t="s">
        <v>2036</v>
      </c>
      <c r="F238">
        <v>202204</v>
      </c>
      <c r="G238" t="s">
        <v>2167</v>
      </c>
      <c r="H238">
        <v>21.22</v>
      </c>
    </row>
    <row r="239" spans="1:8">
      <c r="A239">
        <v>5372</v>
      </c>
      <c r="B239" t="s">
        <v>2331</v>
      </c>
      <c r="C239">
        <v>5697</v>
      </c>
      <c r="D239" t="s">
        <v>2201</v>
      </c>
      <c r="E239" t="s">
        <v>2036</v>
      </c>
      <c r="F239">
        <v>202204</v>
      </c>
      <c r="G239" t="s">
        <v>2168</v>
      </c>
      <c r="H239">
        <v>14.37</v>
      </c>
    </row>
    <row r="240" spans="1:8">
      <c r="A240">
        <v>5372</v>
      </c>
      <c r="B240" t="s">
        <v>2331</v>
      </c>
      <c r="C240">
        <v>5697</v>
      </c>
      <c r="D240" t="s">
        <v>2201</v>
      </c>
      <c r="E240" t="s">
        <v>2036</v>
      </c>
      <c r="F240">
        <v>202204</v>
      </c>
      <c r="G240" t="s">
        <v>2171</v>
      </c>
      <c r="H240">
        <v>131401.95000000001</v>
      </c>
    </row>
    <row r="241" spans="1:8">
      <c r="A241">
        <v>5372</v>
      </c>
      <c r="B241" t="s">
        <v>2331</v>
      </c>
      <c r="C241">
        <v>5697</v>
      </c>
      <c r="D241" t="s">
        <v>2201</v>
      </c>
      <c r="E241" t="s">
        <v>2036</v>
      </c>
      <c r="F241">
        <v>202205</v>
      </c>
      <c r="G241" t="s">
        <v>190</v>
      </c>
      <c r="H241">
        <v>100000</v>
      </c>
    </row>
    <row r="242" spans="1:8">
      <c r="A242">
        <v>5372</v>
      </c>
      <c r="B242" t="s">
        <v>2331</v>
      </c>
      <c r="C242">
        <v>5697</v>
      </c>
      <c r="D242" t="s">
        <v>2201</v>
      </c>
      <c r="E242" t="s">
        <v>2036</v>
      </c>
      <c r="F242">
        <v>202205</v>
      </c>
      <c r="G242" t="s">
        <v>191</v>
      </c>
      <c r="H242">
        <v>0</v>
      </c>
    </row>
    <row r="243" spans="1:8">
      <c r="A243">
        <v>5372</v>
      </c>
      <c r="B243" t="s">
        <v>2331</v>
      </c>
      <c r="C243">
        <v>5697</v>
      </c>
      <c r="D243" t="s">
        <v>2201</v>
      </c>
      <c r="E243" t="s">
        <v>2036</v>
      </c>
      <c r="F243">
        <v>202205</v>
      </c>
      <c r="G243" t="s">
        <v>176</v>
      </c>
      <c r="H243">
        <v>0</v>
      </c>
    </row>
    <row r="244" spans="1:8">
      <c r="A244">
        <v>5372</v>
      </c>
      <c r="B244" t="s">
        <v>2331</v>
      </c>
      <c r="C244">
        <v>5697</v>
      </c>
      <c r="D244" t="s">
        <v>2201</v>
      </c>
      <c r="E244" t="s">
        <v>2036</v>
      </c>
      <c r="F244">
        <v>202205</v>
      </c>
      <c r="G244" t="s">
        <v>178</v>
      </c>
      <c r="H244">
        <v>7100</v>
      </c>
    </row>
    <row r="245" spans="1:8">
      <c r="A245">
        <v>5372</v>
      </c>
      <c r="B245" t="s">
        <v>2331</v>
      </c>
      <c r="C245">
        <v>5697</v>
      </c>
      <c r="D245" t="s">
        <v>2201</v>
      </c>
      <c r="E245" t="s">
        <v>2036</v>
      </c>
      <c r="F245">
        <v>202205</v>
      </c>
      <c r="G245" t="s">
        <v>180</v>
      </c>
      <c r="H245">
        <v>5900</v>
      </c>
    </row>
    <row r="246" spans="1:8">
      <c r="A246">
        <v>5372</v>
      </c>
      <c r="B246" t="s">
        <v>2331</v>
      </c>
      <c r="C246">
        <v>5697</v>
      </c>
      <c r="D246" t="s">
        <v>2201</v>
      </c>
      <c r="E246" t="s">
        <v>2036</v>
      </c>
      <c r="F246">
        <v>202205</v>
      </c>
      <c r="G246" t="s">
        <v>182</v>
      </c>
      <c r="H246">
        <v>2471505</v>
      </c>
    </row>
    <row r="247" spans="1:8">
      <c r="A247">
        <v>5372</v>
      </c>
      <c r="B247" t="s">
        <v>2331</v>
      </c>
      <c r="C247">
        <v>5697</v>
      </c>
      <c r="D247" t="s">
        <v>2201</v>
      </c>
      <c r="E247" t="s">
        <v>2036</v>
      </c>
      <c r="F247">
        <v>202205</v>
      </c>
      <c r="G247" t="s">
        <v>184</v>
      </c>
      <c r="H247">
        <v>207204</v>
      </c>
    </row>
    <row r="248" spans="1:8">
      <c r="A248">
        <v>5372</v>
      </c>
      <c r="B248" t="s">
        <v>2331</v>
      </c>
      <c r="C248">
        <v>5697</v>
      </c>
      <c r="D248" t="s">
        <v>2201</v>
      </c>
      <c r="E248" t="s">
        <v>2036</v>
      </c>
      <c r="F248">
        <v>202205</v>
      </c>
      <c r="G248" t="s">
        <v>192</v>
      </c>
      <c r="H248">
        <v>0</v>
      </c>
    </row>
    <row r="249" spans="1:8">
      <c r="A249">
        <v>5372</v>
      </c>
      <c r="B249" t="s">
        <v>2331</v>
      </c>
      <c r="C249">
        <v>5697</v>
      </c>
      <c r="D249" t="s">
        <v>2201</v>
      </c>
      <c r="E249" t="s">
        <v>2036</v>
      </c>
      <c r="F249">
        <v>202205</v>
      </c>
      <c r="G249" t="s">
        <v>2170</v>
      </c>
      <c r="H249">
        <v>6101.47</v>
      </c>
    </row>
    <row r="250" spans="1:8">
      <c r="A250">
        <v>5372</v>
      </c>
      <c r="B250" t="s">
        <v>2331</v>
      </c>
      <c r="C250">
        <v>5697</v>
      </c>
      <c r="D250" t="s">
        <v>2201</v>
      </c>
      <c r="E250" t="s">
        <v>2036</v>
      </c>
      <c r="F250">
        <v>202205</v>
      </c>
      <c r="G250" t="s">
        <v>186</v>
      </c>
      <c r="H250">
        <v>0</v>
      </c>
    </row>
    <row r="251" spans="1:8">
      <c r="A251">
        <v>5372</v>
      </c>
      <c r="B251" t="s">
        <v>2331</v>
      </c>
      <c r="C251">
        <v>5697</v>
      </c>
      <c r="D251" t="s">
        <v>2201</v>
      </c>
      <c r="E251" t="s">
        <v>2036</v>
      </c>
      <c r="F251">
        <v>202205</v>
      </c>
      <c r="G251" t="s">
        <v>2169</v>
      </c>
      <c r="H251">
        <v>313.3</v>
      </c>
    </row>
    <row r="252" spans="1:8">
      <c r="A252">
        <v>5372</v>
      </c>
      <c r="B252" t="s">
        <v>2331</v>
      </c>
      <c r="C252">
        <v>5697</v>
      </c>
      <c r="D252" t="s">
        <v>2201</v>
      </c>
      <c r="E252" t="s">
        <v>2036</v>
      </c>
      <c r="F252">
        <v>202205</v>
      </c>
      <c r="G252" t="s">
        <v>2166</v>
      </c>
      <c r="H252">
        <v>11.83</v>
      </c>
    </row>
    <row r="253" spans="1:8">
      <c r="A253">
        <v>5372</v>
      </c>
      <c r="B253" t="s">
        <v>2331</v>
      </c>
      <c r="C253">
        <v>5697</v>
      </c>
      <c r="D253" t="s">
        <v>2201</v>
      </c>
      <c r="E253" t="s">
        <v>2036</v>
      </c>
      <c r="F253">
        <v>202205</v>
      </c>
      <c r="G253" t="s">
        <v>2167</v>
      </c>
      <c r="H253">
        <v>21.22</v>
      </c>
    </row>
    <row r="254" spans="1:8">
      <c r="A254">
        <v>5372</v>
      </c>
      <c r="B254" t="s">
        <v>2331</v>
      </c>
      <c r="C254">
        <v>5697</v>
      </c>
      <c r="D254" t="s">
        <v>2201</v>
      </c>
      <c r="E254" t="s">
        <v>2036</v>
      </c>
      <c r="F254">
        <v>202205</v>
      </c>
      <c r="G254" t="s">
        <v>2168</v>
      </c>
      <c r="H254">
        <v>14.37</v>
      </c>
    </row>
    <row r="255" spans="1:8">
      <c r="A255">
        <v>5372</v>
      </c>
      <c r="B255" t="s">
        <v>2331</v>
      </c>
      <c r="C255">
        <v>5697</v>
      </c>
      <c r="D255" t="s">
        <v>2201</v>
      </c>
      <c r="E255" t="s">
        <v>2036</v>
      </c>
      <c r="F255">
        <v>202205</v>
      </c>
      <c r="G255" t="s">
        <v>2171</v>
      </c>
      <c r="H255">
        <v>285115.51</v>
      </c>
    </row>
    <row r="256" spans="1:8">
      <c r="A256">
        <v>5372</v>
      </c>
      <c r="B256" t="s">
        <v>2331</v>
      </c>
      <c r="C256">
        <v>5697</v>
      </c>
      <c r="D256" t="s">
        <v>2201</v>
      </c>
      <c r="E256" t="s">
        <v>2036</v>
      </c>
      <c r="F256">
        <v>202206</v>
      </c>
      <c r="G256" t="s">
        <v>190</v>
      </c>
      <c r="H256">
        <v>0</v>
      </c>
    </row>
    <row r="257" spans="1:8">
      <c r="A257">
        <v>5372</v>
      </c>
      <c r="B257" t="s">
        <v>2331</v>
      </c>
      <c r="C257">
        <v>5697</v>
      </c>
      <c r="D257" t="s">
        <v>2201</v>
      </c>
      <c r="E257" t="s">
        <v>2036</v>
      </c>
      <c r="F257">
        <v>202206</v>
      </c>
      <c r="G257" t="s">
        <v>191</v>
      </c>
      <c r="H257">
        <v>0</v>
      </c>
    </row>
    <row r="258" spans="1:8">
      <c r="A258">
        <v>5372</v>
      </c>
      <c r="B258" t="s">
        <v>2331</v>
      </c>
      <c r="C258">
        <v>5697</v>
      </c>
      <c r="D258" t="s">
        <v>2201</v>
      </c>
      <c r="E258" t="s">
        <v>2036</v>
      </c>
      <c r="F258">
        <v>202206</v>
      </c>
      <c r="G258" t="s">
        <v>176</v>
      </c>
      <c r="H258">
        <v>0</v>
      </c>
    </row>
    <row r="259" spans="1:8">
      <c r="A259">
        <v>5372</v>
      </c>
      <c r="B259" t="s">
        <v>2331</v>
      </c>
      <c r="C259">
        <v>5697</v>
      </c>
      <c r="D259" t="s">
        <v>2201</v>
      </c>
      <c r="E259" t="s">
        <v>2036</v>
      </c>
      <c r="F259">
        <v>202206</v>
      </c>
      <c r="G259" t="s">
        <v>178</v>
      </c>
      <c r="H259">
        <v>3500</v>
      </c>
    </row>
    <row r="260" spans="1:8">
      <c r="A260">
        <v>5372</v>
      </c>
      <c r="B260" t="s">
        <v>2331</v>
      </c>
      <c r="C260">
        <v>5697</v>
      </c>
      <c r="D260" t="s">
        <v>2201</v>
      </c>
      <c r="E260" t="s">
        <v>2036</v>
      </c>
      <c r="F260">
        <v>202206</v>
      </c>
      <c r="G260" t="s">
        <v>180</v>
      </c>
      <c r="H260">
        <v>2800</v>
      </c>
    </row>
    <row r="261" spans="1:8">
      <c r="A261">
        <v>5372</v>
      </c>
      <c r="B261" t="s">
        <v>2331</v>
      </c>
      <c r="C261">
        <v>5697</v>
      </c>
      <c r="D261" t="s">
        <v>2201</v>
      </c>
      <c r="E261" t="s">
        <v>2036</v>
      </c>
      <c r="F261">
        <v>202206</v>
      </c>
      <c r="G261" t="s">
        <v>182</v>
      </c>
      <c r="H261">
        <v>1169488</v>
      </c>
    </row>
    <row r="262" spans="1:8">
      <c r="A262">
        <v>5372</v>
      </c>
      <c r="B262" t="s">
        <v>2331</v>
      </c>
      <c r="C262">
        <v>5697</v>
      </c>
      <c r="D262" t="s">
        <v>2201</v>
      </c>
      <c r="E262" t="s">
        <v>2036</v>
      </c>
      <c r="F262">
        <v>202206</v>
      </c>
      <c r="G262" t="s">
        <v>184</v>
      </c>
      <c r="H262">
        <v>110898</v>
      </c>
    </row>
    <row r="263" spans="1:8">
      <c r="A263">
        <v>5372</v>
      </c>
      <c r="B263" t="s">
        <v>2331</v>
      </c>
      <c r="C263">
        <v>5697</v>
      </c>
      <c r="D263" t="s">
        <v>2201</v>
      </c>
      <c r="E263" t="s">
        <v>2036</v>
      </c>
      <c r="F263">
        <v>202206</v>
      </c>
      <c r="G263" t="s">
        <v>192</v>
      </c>
      <c r="H263">
        <v>0</v>
      </c>
    </row>
    <row r="264" spans="1:8">
      <c r="A264">
        <v>5372</v>
      </c>
      <c r="B264" t="s">
        <v>2331</v>
      </c>
      <c r="C264">
        <v>5697</v>
      </c>
      <c r="D264" t="s">
        <v>2201</v>
      </c>
      <c r="E264" t="s">
        <v>2036</v>
      </c>
      <c r="F264">
        <v>202206</v>
      </c>
      <c r="G264" t="s">
        <v>2170</v>
      </c>
      <c r="H264">
        <v>3877.58</v>
      </c>
    </row>
    <row r="265" spans="1:8">
      <c r="A265">
        <v>5372</v>
      </c>
      <c r="B265" t="s">
        <v>2331</v>
      </c>
      <c r="C265">
        <v>5697</v>
      </c>
      <c r="D265" t="s">
        <v>2201</v>
      </c>
      <c r="E265" t="s">
        <v>2036</v>
      </c>
      <c r="F265">
        <v>202206</v>
      </c>
      <c r="G265" t="s">
        <v>186</v>
      </c>
      <c r="H265">
        <v>0</v>
      </c>
    </row>
    <row r="266" spans="1:8">
      <c r="A266">
        <v>5372</v>
      </c>
      <c r="B266" t="s">
        <v>2331</v>
      </c>
      <c r="C266">
        <v>5697</v>
      </c>
      <c r="D266" t="s">
        <v>2201</v>
      </c>
      <c r="E266" t="s">
        <v>2036</v>
      </c>
      <c r="F266">
        <v>202206</v>
      </c>
      <c r="G266" t="s">
        <v>2169</v>
      </c>
      <c r="H266">
        <v>313.3</v>
      </c>
    </row>
    <row r="267" spans="1:8">
      <c r="A267">
        <v>5372</v>
      </c>
      <c r="B267" t="s">
        <v>2331</v>
      </c>
      <c r="C267">
        <v>5697</v>
      </c>
      <c r="D267" t="s">
        <v>2201</v>
      </c>
      <c r="E267" t="s">
        <v>2036</v>
      </c>
      <c r="F267">
        <v>202206</v>
      </c>
      <c r="G267" t="s">
        <v>2166</v>
      </c>
      <c r="H267">
        <v>11.83</v>
      </c>
    </row>
    <row r="268" spans="1:8">
      <c r="A268">
        <v>5372</v>
      </c>
      <c r="B268" t="s">
        <v>2331</v>
      </c>
      <c r="C268">
        <v>5697</v>
      </c>
      <c r="D268" t="s">
        <v>2201</v>
      </c>
      <c r="E268" t="s">
        <v>2036</v>
      </c>
      <c r="F268">
        <v>202206</v>
      </c>
      <c r="G268" t="s">
        <v>2167</v>
      </c>
      <c r="H268">
        <v>21.22</v>
      </c>
    </row>
    <row r="269" spans="1:8">
      <c r="A269">
        <v>5372</v>
      </c>
      <c r="B269" t="s">
        <v>2331</v>
      </c>
      <c r="C269">
        <v>5697</v>
      </c>
      <c r="D269" t="s">
        <v>2201</v>
      </c>
      <c r="E269" t="s">
        <v>2036</v>
      </c>
      <c r="F269">
        <v>202206</v>
      </c>
      <c r="G269" t="s">
        <v>2168</v>
      </c>
      <c r="H269">
        <v>14.37</v>
      </c>
    </row>
    <row r="270" spans="1:8">
      <c r="A270">
        <v>5372</v>
      </c>
      <c r="B270" t="s">
        <v>2331</v>
      </c>
      <c r="C270">
        <v>5697</v>
      </c>
      <c r="D270" t="s">
        <v>2201</v>
      </c>
      <c r="E270" t="s">
        <v>2036</v>
      </c>
      <c r="F270">
        <v>202206</v>
      </c>
      <c r="G270" t="s">
        <v>2171</v>
      </c>
      <c r="H270">
        <v>123097.72</v>
      </c>
    </row>
    <row r="271" spans="1:8">
      <c r="A271">
        <v>5372</v>
      </c>
      <c r="B271" t="s">
        <v>2331</v>
      </c>
      <c r="C271">
        <v>5697</v>
      </c>
      <c r="D271" t="s">
        <v>2201</v>
      </c>
      <c r="E271" t="s">
        <v>2036</v>
      </c>
      <c r="F271">
        <v>202206</v>
      </c>
      <c r="G271" t="s">
        <v>190</v>
      </c>
      <c r="H271">
        <v>100000</v>
      </c>
    </row>
    <row r="272" spans="1:8">
      <c r="A272">
        <v>5372</v>
      </c>
      <c r="B272" t="s">
        <v>2331</v>
      </c>
      <c r="C272">
        <v>5697</v>
      </c>
      <c r="D272" t="s">
        <v>2201</v>
      </c>
      <c r="E272" t="s">
        <v>2036</v>
      </c>
      <c r="F272">
        <v>202206</v>
      </c>
      <c r="G272" t="s">
        <v>191</v>
      </c>
      <c r="H272">
        <v>0</v>
      </c>
    </row>
    <row r="273" spans="1:8">
      <c r="A273">
        <v>5372</v>
      </c>
      <c r="B273" t="s">
        <v>2331</v>
      </c>
      <c r="C273">
        <v>5697</v>
      </c>
      <c r="D273" t="s">
        <v>2201</v>
      </c>
      <c r="E273" t="s">
        <v>2036</v>
      </c>
      <c r="F273">
        <v>202206</v>
      </c>
      <c r="G273" t="s">
        <v>176</v>
      </c>
      <c r="H273">
        <v>-8408.56</v>
      </c>
    </row>
    <row r="274" spans="1:8">
      <c r="A274">
        <v>5372</v>
      </c>
      <c r="B274" t="s">
        <v>2331</v>
      </c>
      <c r="C274">
        <v>5697</v>
      </c>
      <c r="D274" t="s">
        <v>2201</v>
      </c>
      <c r="E274" t="s">
        <v>2036</v>
      </c>
      <c r="F274">
        <v>202206</v>
      </c>
      <c r="G274" t="s">
        <v>178</v>
      </c>
      <c r="H274">
        <v>7100</v>
      </c>
    </row>
    <row r="275" spans="1:8">
      <c r="A275">
        <v>5372</v>
      </c>
      <c r="B275" t="s">
        <v>2331</v>
      </c>
      <c r="C275">
        <v>5697</v>
      </c>
      <c r="D275" t="s">
        <v>2201</v>
      </c>
      <c r="E275" t="s">
        <v>2036</v>
      </c>
      <c r="F275">
        <v>202206</v>
      </c>
      <c r="G275" t="s">
        <v>180</v>
      </c>
      <c r="H275">
        <v>5900</v>
      </c>
    </row>
    <row r="276" spans="1:8">
      <c r="A276">
        <v>5372</v>
      </c>
      <c r="B276" t="s">
        <v>2331</v>
      </c>
      <c r="C276">
        <v>5697</v>
      </c>
      <c r="D276" t="s">
        <v>2201</v>
      </c>
      <c r="E276" t="s">
        <v>2036</v>
      </c>
      <c r="F276">
        <v>202206</v>
      </c>
      <c r="G276" t="s">
        <v>182</v>
      </c>
      <c r="H276">
        <v>2385003</v>
      </c>
    </row>
    <row r="277" spans="1:8">
      <c r="A277">
        <v>5372</v>
      </c>
      <c r="B277" t="s">
        <v>2331</v>
      </c>
      <c r="C277">
        <v>5697</v>
      </c>
      <c r="D277" t="s">
        <v>2201</v>
      </c>
      <c r="E277" t="s">
        <v>2036</v>
      </c>
      <c r="F277">
        <v>202206</v>
      </c>
      <c r="G277" t="s">
        <v>184</v>
      </c>
      <c r="H277">
        <v>235402</v>
      </c>
    </row>
    <row r="278" spans="1:8">
      <c r="A278">
        <v>5372</v>
      </c>
      <c r="B278" t="s">
        <v>2331</v>
      </c>
      <c r="C278">
        <v>5697</v>
      </c>
      <c r="D278" t="s">
        <v>2201</v>
      </c>
      <c r="E278" t="s">
        <v>2036</v>
      </c>
      <c r="F278">
        <v>202206</v>
      </c>
      <c r="G278" t="s">
        <v>192</v>
      </c>
      <c r="H278">
        <v>0</v>
      </c>
    </row>
    <row r="279" spans="1:8">
      <c r="A279">
        <v>5372</v>
      </c>
      <c r="B279" t="s">
        <v>2331</v>
      </c>
      <c r="C279">
        <v>5697</v>
      </c>
      <c r="D279" t="s">
        <v>2201</v>
      </c>
      <c r="E279" t="s">
        <v>2036</v>
      </c>
      <c r="F279">
        <v>202206</v>
      </c>
      <c r="G279" t="s">
        <v>2170</v>
      </c>
      <c r="H279">
        <v>9047.5400000000009</v>
      </c>
    </row>
    <row r="280" spans="1:8">
      <c r="A280">
        <v>5372</v>
      </c>
      <c r="B280" t="s">
        <v>2331</v>
      </c>
      <c r="C280">
        <v>5697</v>
      </c>
      <c r="D280" t="s">
        <v>2201</v>
      </c>
      <c r="E280" t="s">
        <v>2036</v>
      </c>
      <c r="F280">
        <v>202206</v>
      </c>
      <c r="G280" t="s">
        <v>186</v>
      </c>
      <c r="H280">
        <v>0</v>
      </c>
    </row>
    <row r="281" spans="1:8">
      <c r="A281">
        <v>5372</v>
      </c>
      <c r="B281" t="s">
        <v>2331</v>
      </c>
      <c r="C281">
        <v>5697</v>
      </c>
      <c r="D281" t="s">
        <v>2201</v>
      </c>
      <c r="E281" t="s">
        <v>2036</v>
      </c>
      <c r="F281">
        <v>202206</v>
      </c>
      <c r="G281" t="s">
        <v>2169</v>
      </c>
      <c r="H281">
        <v>313.3</v>
      </c>
    </row>
    <row r="282" spans="1:8">
      <c r="A282">
        <v>5372</v>
      </c>
      <c r="B282" t="s">
        <v>2331</v>
      </c>
      <c r="C282">
        <v>5697</v>
      </c>
      <c r="D282" t="s">
        <v>2201</v>
      </c>
      <c r="E282" t="s">
        <v>2036</v>
      </c>
      <c r="F282">
        <v>202206</v>
      </c>
      <c r="G282" t="s">
        <v>2166</v>
      </c>
      <c r="H282">
        <v>11.83</v>
      </c>
    </row>
    <row r="283" spans="1:8">
      <c r="A283">
        <v>5372</v>
      </c>
      <c r="B283" t="s">
        <v>2331</v>
      </c>
      <c r="C283">
        <v>5697</v>
      </c>
      <c r="D283" t="s">
        <v>2201</v>
      </c>
      <c r="E283" t="s">
        <v>2036</v>
      </c>
      <c r="F283">
        <v>202206</v>
      </c>
      <c r="G283" t="s">
        <v>2167</v>
      </c>
      <c r="H283">
        <v>21.22</v>
      </c>
    </row>
    <row r="284" spans="1:8">
      <c r="A284">
        <v>5372</v>
      </c>
      <c r="B284" t="s">
        <v>2331</v>
      </c>
      <c r="C284">
        <v>5697</v>
      </c>
      <c r="D284" t="s">
        <v>2201</v>
      </c>
      <c r="E284" t="s">
        <v>2036</v>
      </c>
      <c r="F284">
        <v>202206</v>
      </c>
      <c r="G284" t="s">
        <v>2168</v>
      </c>
      <c r="H284">
        <v>14.37</v>
      </c>
    </row>
    <row r="285" spans="1:8">
      <c r="A285">
        <v>5372</v>
      </c>
      <c r="B285" t="s">
        <v>2331</v>
      </c>
      <c r="C285">
        <v>5697</v>
      </c>
      <c r="D285" t="s">
        <v>2201</v>
      </c>
      <c r="E285" t="s">
        <v>2036</v>
      </c>
      <c r="F285">
        <v>202206</v>
      </c>
      <c r="G285" t="s">
        <v>2171</v>
      </c>
      <c r="H285">
        <v>278815.19</v>
      </c>
    </row>
    <row r="286" spans="1:8">
      <c r="A286">
        <v>5372</v>
      </c>
      <c r="B286" t="s">
        <v>2331</v>
      </c>
      <c r="C286">
        <v>5697</v>
      </c>
      <c r="D286" t="s">
        <v>2201</v>
      </c>
      <c r="E286" t="s">
        <v>2036</v>
      </c>
      <c r="F286">
        <v>202207</v>
      </c>
      <c r="G286" t="s">
        <v>190</v>
      </c>
      <c r="H286">
        <v>0</v>
      </c>
    </row>
    <row r="287" spans="1:8">
      <c r="A287">
        <v>5372</v>
      </c>
      <c r="B287" t="s">
        <v>2331</v>
      </c>
      <c r="C287">
        <v>5697</v>
      </c>
      <c r="D287" t="s">
        <v>2201</v>
      </c>
      <c r="E287" t="s">
        <v>2036</v>
      </c>
      <c r="F287">
        <v>202207</v>
      </c>
      <c r="G287" t="s">
        <v>191</v>
      </c>
      <c r="H287">
        <v>0</v>
      </c>
    </row>
    <row r="288" spans="1:8">
      <c r="A288">
        <v>5372</v>
      </c>
      <c r="B288" t="s">
        <v>2331</v>
      </c>
      <c r="C288">
        <v>5697</v>
      </c>
      <c r="D288" t="s">
        <v>2201</v>
      </c>
      <c r="E288" t="s">
        <v>2036</v>
      </c>
      <c r="F288">
        <v>202207</v>
      </c>
      <c r="G288" t="s">
        <v>176</v>
      </c>
      <c r="H288">
        <v>0</v>
      </c>
    </row>
    <row r="289" spans="1:8">
      <c r="A289">
        <v>5372</v>
      </c>
      <c r="B289" t="s">
        <v>2331</v>
      </c>
      <c r="C289">
        <v>5697</v>
      </c>
      <c r="D289" t="s">
        <v>2201</v>
      </c>
      <c r="E289" t="s">
        <v>2036</v>
      </c>
      <c r="F289">
        <v>202207</v>
      </c>
      <c r="G289" t="s">
        <v>178</v>
      </c>
      <c r="H289">
        <v>3500</v>
      </c>
    </row>
    <row r="290" spans="1:8">
      <c r="A290">
        <v>5372</v>
      </c>
      <c r="B290" t="s">
        <v>2331</v>
      </c>
      <c r="C290">
        <v>5697</v>
      </c>
      <c r="D290" t="s">
        <v>2201</v>
      </c>
      <c r="E290" t="s">
        <v>2036</v>
      </c>
      <c r="F290">
        <v>202207</v>
      </c>
      <c r="G290" t="s">
        <v>180</v>
      </c>
      <c r="H290">
        <v>2800</v>
      </c>
    </row>
    <row r="291" spans="1:8">
      <c r="A291">
        <v>5372</v>
      </c>
      <c r="B291" t="s">
        <v>2331</v>
      </c>
      <c r="C291">
        <v>5697</v>
      </c>
      <c r="D291" t="s">
        <v>2201</v>
      </c>
      <c r="E291" t="s">
        <v>2036</v>
      </c>
      <c r="F291">
        <v>202207</v>
      </c>
      <c r="G291" t="s">
        <v>182</v>
      </c>
      <c r="H291">
        <v>1211978</v>
      </c>
    </row>
    <row r="292" spans="1:8">
      <c r="A292">
        <v>5372</v>
      </c>
      <c r="B292" t="s">
        <v>2331</v>
      </c>
      <c r="C292">
        <v>5697</v>
      </c>
      <c r="D292" t="s">
        <v>2201</v>
      </c>
      <c r="E292" t="s">
        <v>2036</v>
      </c>
      <c r="F292">
        <v>202207</v>
      </c>
      <c r="G292" t="s">
        <v>184</v>
      </c>
      <c r="H292">
        <v>102474</v>
      </c>
    </row>
    <row r="293" spans="1:8">
      <c r="A293">
        <v>5372</v>
      </c>
      <c r="B293" t="s">
        <v>2331</v>
      </c>
      <c r="C293">
        <v>5697</v>
      </c>
      <c r="D293" t="s">
        <v>2201</v>
      </c>
      <c r="E293" t="s">
        <v>2036</v>
      </c>
      <c r="F293">
        <v>202207</v>
      </c>
      <c r="G293" t="s">
        <v>192</v>
      </c>
      <c r="H293">
        <v>0</v>
      </c>
    </row>
    <row r="294" spans="1:8">
      <c r="A294">
        <v>5372</v>
      </c>
      <c r="B294" t="s">
        <v>2331</v>
      </c>
      <c r="C294">
        <v>5697</v>
      </c>
      <c r="D294" t="s">
        <v>2201</v>
      </c>
      <c r="E294" t="s">
        <v>2036</v>
      </c>
      <c r="F294">
        <v>202207</v>
      </c>
      <c r="G294" t="s">
        <v>2170</v>
      </c>
      <c r="H294">
        <v>4922.99</v>
      </c>
    </row>
    <row r="295" spans="1:8">
      <c r="A295">
        <v>5372</v>
      </c>
      <c r="B295" t="s">
        <v>2331</v>
      </c>
      <c r="C295">
        <v>5697</v>
      </c>
      <c r="D295" t="s">
        <v>2201</v>
      </c>
      <c r="E295" t="s">
        <v>2036</v>
      </c>
      <c r="F295">
        <v>202207</v>
      </c>
      <c r="G295" t="s">
        <v>186</v>
      </c>
      <c r="H295">
        <v>0</v>
      </c>
    </row>
    <row r="296" spans="1:8">
      <c r="A296">
        <v>5372</v>
      </c>
      <c r="B296" t="s">
        <v>2331</v>
      </c>
      <c r="C296">
        <v>5697</v>
      </c>
      <c r="D296" t="s">
        <v>2201</v>
      </c>
      <c r="E296" t="s">
        <v>2036</v>
      </c>
      <c r="F296">
        <v>202207</v>
      </c>
      <c r="G296" t="s">
        <v>2169</v>
      </c>
      <c r="H296">
        <v>313.3</v>
      </c>
    </row>
    <row r="297" spans="1:8">
      <c r="A297">
        <v>5372</v>
      </c>
      <c r="B297" t="s">
        <v>2331</v>
      </c>
      <c r="C297">
        <v>5697</v>
      </c>
      <c r="D297" t="s">
        <v>2201</v>
      </c>
      <c r="E297" t="s">
        <v>2036</v>
      </c>
      <c r="F297">
        <v>202207</v>
      </c>
      <c r="G297" t="s">
        <v>2166</v>
      </c>
      <c r="H297">
        <v>11.83</v>
      </c>
    </row>
    <row r="298" spans="1:8">
      <c r="A298">
        <v>5372</v>
      </c>
      <c r="B298" t="s">
        <v>2331</v>
      </c>
      <c r="C298">
        <v>5697</v>
      </c>
      <c r="D298" t="s">
        <v>2201</v>
      </c>
      <c r="E298" t="s">
        <v>2036</v>
      </c>
      <c r="F298">
        <v>202207</v>
      </c>
      <c r="G298" t="s">
        <v>2167</v>
      </c>
      <c r="H298">
        <v>21.22</v>
      </c>
    </row>
    <row r="299" spans="1:8">
      <c r="A299">
        <v>5372</v>
      </c>
      <c r="B299" t="s">
        <v>2331</v>
      </c>
      <c r="C299">
        <v>5697</v>
      </c>
      <c r="D299" t="s">
        <v>2201</v>
      </c>
      <c r="E299" t="s">
        <v>2036</v>
      </c>
      <c r="F299">
        <v>202207</v>
      </c>
      <c r="G299" t="s">
        <v>2168</v>
      </c>
      <c r="H299">
        <v>14.37</v>
      </c>
    </row>
    <row r="300" spans="1:8">
      <c r="A300">
        <v>5372</v>
      </c>
      <c r="B300" t="s">
        <v>2331</v>
      </c>
      <c r="C300">
        <v>5697</v>
      </c>
      <c r="D300" t="s">
        <v>2201</v>
      </c>
      <c r="E300" t="s">
        <v>2036</v>
      </c>
      <c r="F300">
        <v>202207</v>
      </c>
      <c r="G300" t="s">
        <v>2171</v>
      </c>
      <c r="H300">
        <v>126693.18</v>
      </c>
    </row>
    <row r="301" spans="1:8">
      <c r="A301">
        <v>5372</v>
      </c>
      <c r="B301" t="s">
        <v>2331</v>
      </c>
      <c r="C301">
        <v>5697</v>
      </c>
      <c r="D301" t="s">
        <v>2201</v>
      </c>
      <c r="E301" t="s">
        <v>2036</v>
      </c>
      <c r="F301">
        <v>202207</v>
      </c>
      <c r="G301" t="s">
        <v>190</v>
      </c>
      <c r="H301">
        <v>100000</v>
      </c>
    </row>
    <row r="302" spans="1:8">
      <c r="A302">
        <v>5372</v>
      </c>
      <c r="B302" t="s">
        <v>2331</v>
      </c>
      <c r="C302">
        <v>5697</v>
      </c>
      <c r="D302" t="s">
        <v>2201</v>
      </c>
      <c r="E302" t="s">
        <v>2036</v>
      </c>
      <c r="F302">
        <v>202207</v>
      </c>
      <c r="G302" t="s">
        <v>191</v>
      </c>
      <c r="H302">
        <v>0</v>
      </c>
    </row>
    <row r="303" spans="1:8">
      <c r="A303">
        <v>5372</v>
      </c>
      <c r="B303" t="s">
        <v>2331</v>
      </c>
      <c r="C303">
        <v>5697</v>
      </c>
      <c r="D303" t="s">
        <v>2201</v>
      </c>
      <c r="E303" t="s">
        <v>2036</v>
      </c>
      <c r="F303">
        <v>202207</v>
      </c>
      <c r="G303" t="s">
        <v>176</v>
      </c>
      <c r="H303">
        <v>0</v>
      </c>
    </row>
    <row r="304" spans="1:8">
      <c r="A304">
        <v>5372</v>
      </c>
      <c r="B304" t="s">
        <v>2331</v>
      </c>
      <c r="C304">
        <v>5697</v>
      </c>
      <c r="D304" t="s">
        <v>2201</v>
      </c>
      <c r="E304" t="s">
        <v>2036</v>
      </c>
      <c r="F304">
        <v>202207</v>
      </c>
      <c r="G304" t="s">
        <v>178</v>
      </c>
      <c r="H304">
        <v>5500</v>
      </c>
    </row>
    <row r="305" spans="1:8">
      <c r="A305">
        <v>5372</v>
      </c>
      <c r="B305" t="s">
        <v>2331</v>
      </c>
      <c r="C305">
        <v>5697</v>
      </c>
      <c r="D305" t="s">
        <v>2201</v>
      </c>
      <c r="E305" t="s">
        <v>2036</v>
      </c>
      <c r="F305">
        <v>202207</v>
      </c>
      <c r="G305" t="s">
        <v>180</v>
      </c>
      <c r="H305">
        <v>5000</v>
      </c>
    </row>
    <row r="306" spans="1:8">
      <c r="A306">
        <v>5372</v>
      </c>
      <c r="B306" t="s">
        <v>2331</v>
      </c>
      <c r="C306">
        <v>5697</v>
      </c>
      <c r="D306" t="s">
        <v>2201</v>
      </c>
      <c r="E306" t="s">
        <v>2036</v>
      </c>
      <c r="F306">
        <v>202207</v>
      </c>
      <c r="G306" t="s">
        <v>182</v>
      </c>
      <c r="H306">
        <v>2082462</v>
      </c>
    </row>
    <row r="307" spans="1:8">
      <c r="A307">
        <v>5372</v>
      </c>
      <c r="B307" t="s">
        <v>2331</v>
      </c>
      <c r="C307">
        <v>5697</v>
      </c>
      <c r="D307" t="s">
        <v>2201</v>
      </c>
      <c r="E307" t="s">
        <v>2036</v>
      </c>
      <c r="F307">
        <v>202207</v>
      </c>
      <c r="G307" t="s">
        <v>184</v>
      </c>
      <c r="H307">
        <v>210775</v>
      </c>
    </row>
    <row r="308" spans="1:8">
      <c r="A308">
        <v>5372</v>
      </c>
      <c r="B308" t="s">
        <v>2331</v>
      </c>
      <c r="C308">
        <v>5697</v>
      </c>
      <c r="D308" t="s">
        <v>2201</v>
      </c>
      <c r="E308" t="s">
        <v>2036</v>
      </c>
      <c r="F308">
        <v>202207</v>
      </c>
      <c r="G308" t="s">
        <v>192</v>
      </c>
      <c r="H308">
        <v>0</v>
      </c>
    </row>
    <row r="309" spans="1:8">
      <c r="A309">
        <v>5372</v>
      </c>
      <c r="B309" t="s">
        <v>2331</v>
      </c>
      <c r="C309">
        <v>5697</v>
      </c>
      <c r="D309" t="s">
        <v>2201</v>
      </c>
      <c r="E309" t="s">
        <v>2036</v>
      </c>
      <c r="F309">
        <v>202207</v>
      </c>
      <c r="G309" t="s">
        <v>2170</v>
      </c>
      <c r="H309">
        <v>9682.69</v>
      </c>
    </row>
    <row r="310" spans="1:8">
      <c r="A310">
        <v>5372</v>
      </c>
      <c r="B310" t="s">
        <v>2331</v>
      </c>
      <c r="C310">
        <v>5697</v>
      </c>
      <c r="D310" t="s">
        <v>2201</v>
      </c>
      <c r="E310" t="s">
        <v>2036</v>
      </c>
      <c r="F310">
        <v>202207</v>
      </c>
      <c r="G310" t="s">
        <v>186</v>
      </c>
      <c r="H310">
        <v>0</v>
      </c>
    </row>
    <row r="311" spans="1:8">
      <c r="A311">
        <v>5372</v>
      </c>
      <c r="B311" t="s">
        <v>2331</v>
      </c>
      <c r="C311">
        <v>5697</v>
      </c>
      <c r="D311" t="s">
        <v>2201</v>
      </c>
      <c r="E311" t="s">
        <v>2036</v>
      </c>
      <c r="F311">
        <v>202207</v>
      </c>
      <c r="G311" t="s">
        <v>2169</v>
      </c>
      <c r="H311">
        <v>313.3</v>
      </c>
    </row>
    <row r="312" spans="1:8">
      <c r="A312">
        <v>5372</v>
      </c>
      <c r="B312" t="s">
        <v>2331</v>
      </c>
      <c r="C312">
        <v>5697</v>
      </c>
      <c r="D312" t="s">
        <v>2201</v>
      </c>
      <c r="E312" t="s">
        <v>2036</v>
      </c>
      <c r="F312">
        <v>202207</v>
      </c>
      <c r="G312" t="s">
        <v>2166</v>
      </c>
      <c r="H312">
        <v>11.83</v>
      </c>
    </row>
    <row r="313" spans="1:8">
      <c r="A313">
        <v>5372</v>
      </c>
      <c r="B313" t="s">
        <v>2331</v>
      </c>
      <c r="C313">
        <v>5697</v>
      </c>
      <c r="D313" t="s">
        <v>2201</v>
      </c>
      <c r="E313" t="s">
        <v>2036</v>
      </c>
      <c r="F313">
        <v>202207</v>
      </c>
      <c r="G313" t="s">
        <v>2167</v>
      </c>
      <c r="H313">
        <v>21.22</v>
      </c>
    </row>
    <row r="314" spans="1:8">
      <c r="A314">
        <v>5372</v>
      </c>
      <c r="B314" t="s">
        <v>2331</v>
      </c>
      <c r="C314">
        <v>5697</v>
      </c>
      <c r="D314" t="s">
        <v>2201</v>
      </c>
      <c r="E314" t="s">
        <v>2036</v>
      </c>
      <c r="F314">
        <v>202207</v>
      </c>
      <c r="G314" t="s">
        <v>2168</v>
      </c>
      <c r="H314">
        <v>14.37</v>
      </c>
    </row>
    <row r="315" spans="1:8">
      <c r="A315">
        <v>5372</v>
      </c>
      <c r="B315" t="s">
        <v>2331</v>
      </c>
      <c r="C315">
        <v>5697</v>
      </c>
      <c r="D315" t="s">
        <v>2201</v>
      </c>
      <c r="E315" t="s">
        <v>2036</v>
      </c>
      <c r="F315">
        <v>202207</v>
      </c>
      <c r="G315" t="s">
        <v>2171</v>
      </c>
      <c r="H315">
        <v>249910.81</v>
      </c>
    </row>
    <row r="316" spans="1:8">
      <c r="A316">
        <v>5372</v>
      </c>
      <c r="B316" t="s">
        <v>2331</v>
      </c>
      <c r="C316">
        <v>5697</v>
      </c>
      <c r="D316" t="s">
        <v>2201</v>
      </c>
      <c r="E316" t="s">
        <v>2036</v>
      </c>
      <c r="F316">
        <v>202208</v>
      </c>
      <c r="G316" t="s">
        <v>190</v>
      </c>
      <c r="H316">
        <v>0</v>
      </c>
    </row>
    <row r="317" spans="1:8">
      <c r="A317">
        <v>5372</v>
      </c>
      <c r="B317" t="s">
        <v>2331</v>
      </c>
      <c r="C317">
        <v>5697</v>
      </c>
      <c r="D317" t="s">
        <v>2201</v>
      </c>
      <c r="E317" t="s">
        <v>2036</v>
      </c>
      <c r="F317">
        <v>202208</v>
      </c>
      <c r="G317" t="s">
        <v>191</v>
      </c>
      <c r="H317">
        <v>0</v>
      </c>
    </row>
    <row r="318" spans="1:8">
      <c r="A318">
        <v>5372</v>
      </c>
      <c r="B318" t="s">
        <v>2331</v>
      </c>
      <c r="C318">
        <v>5697</v>
      </c>
      <c r="D318" t="s">
        <v>2201</v>
      </c>
      <c r="E318" t="s">
        <v>2036</v>
      </c>
      <c r="F318">
        <v>202208</v>
      </c>
      <c r="G318" t="s">
        <v>176</v>
      </c>
      <c r="H318">
        <v>0</v>
      </c>
    </row>
    <row r="319" spans="1:8">
      <c r="A319">
        <v>5372</v>
      </c>
      <c r="B319" t="s">
        <v>2331</v>
      </c>
      <c r="C319">
        <v>5697</v>
      </c>
      <c r="D319" t="s">
        <v>2201</v>
      </c>
      <c r="E319" t="s">
        <v>2036</v>
      </c>
      <c r="F319">
        <v>202208</v>
      </c>
      <c r="G319" t="s">
        <v>178</v>
      </c>
      <c r="H319">
        <v>3500</v>
      </c>
    </row>
    <row r="320" spans="1:8">
      <c r="A320">
        <v>5372</v>
      </c>
      <c r="B320" t="s">
        <v>2331</v>
      </c>
      <c r="C320">
        <v>5697</v>
      </c>
      <c r="D320" t="s">
        <v>2201</v>
      </c>
      <c r="E320" t="s">
        <v>2036</v>
      </c>
      <c r="F320">
        <v>202208</v>
      </c>
      <c r="G320" t="s">
        <v>180</v>
      </c>
      <c r="H320">
        <v>2800</v>
      </c>
    </row>
    <row r="321" spans="1:8">
      <c r="A321">
        <v>5372</v>
      </c>
      <c r="B321" t="s">
        <v>2331</v>
      </c>
      <c r="C321">
        <v>5697</v>
      </c>
      <c r="D321" t="s">
        <v>2201</v>
      </c>
      <c r="E321" t="s">
        <v>2036</v>
      </c>
      <c r="F321">
        <v>202208</v>
      </c>
      <c r="G321" t="s">
        <v>182</v>
      </c>
      <c r="H321">
        <v>1172492</v>
      </c>
    </row>
    <row r="322" spans="1:8">
      <c r="A322">
        <v>5372</v>
      </c>
      <c r="B322" t="s">
        <v>2331</v>
      </c>
      <c r="C322">
        <v>5697</v>
      </c>
      <c r="D322" t="s">
        <v>2201</v>
      </c>
      <c r="E322" t="s">
        <v>2036</v>
      </c>
      <c r="F322">
        <v>202208</v>
      </c>
      <c r="G322" t="s">
        <v>184</v>
      </c>
      <c r="H322">
        <v>103729</v>
      </c>
    </row>
    <row r="323" spans="1:8">
      <c r="A323">
        <v>5372</v>
      </c>
      <c r="B323" t="s">
        <v>2331</v>
      </c>
      <c r="C323">
        <v>5697</v>
      </c>
      <c r="D323" t="s">
        <v>2201</v>
      </c>
      <c r="E323" t="s">
        <v>2036</v>
      </c>
      <c r="F323">
        <v>202208</v>
      </c>
      <c r="G323" t="s">
        <v>192</v>
      </c>
      <c r="H323">
        <v>0</v>
      </c>
    </row>
    <row r="324" spans="1:8">
      <c r="A324">
        <v>5372</v>
      </c>
      <c r="B324" t="s">
        <v>2331</v>
      </c>
      <c r="C324">
        <v>5697</v>
      </c>
      <c r="D324" t="s">
        <v>2201</v>
      </c>
      <c r="E324" t="s">
        <v>2036</v>
      </c>
      <c r="F324">
        <v>202208</v>
      </c>
      <c r="G324" t="s">
        <v>2170</v>
      </c>
      <c r="H324">
        <v>6284.8</v>
      </c>
    </row>
    <row r="325" spans="1:8">
      <c r="A325">
        <v>5372</v>
      </c>
      <c r="B325" t="s">
        <v>2331</v>
      </c>
      <c r="C325">
        <v>5697</v>
      </c>
      <c r="D325" t="s">
        <v>2201</v>
      </c>
      <c r="E325" t="s">
        <v>2036</v>
      </c>
      <c r="F325">
        <v>202208</v>
      </c>
      <c r="G325" t="s">
        <v>186</v>
      </c>
      <c r="H325">
        <v>0</v>
      </c>
    </row>
    <row r="326" spans="1:8">
      <c r="A326">
        <v>5372</v>
      </c>
      <c r="B326" t="s">
        <v>2331</v>
      </c>
      <c r="C326">
        <v>5697</v>
      </c>
      <c r="D326" t="s">
        <v>2201</v>
      </c>
      <c r="E326" t="s">
        <v>2036</v>
      </c>
      <c r="F326">
        <v>202208</v>
      </c>
      <c r="G326" t="s">
        <v>2169</v>
      </c>
      <c r="H326">
        <v>313.3</v>
      </c>
    </row>
    <row r="327" spans="1:8">
      <c r="A327">
        <v>5372</v>
      </c>
      <c r="B327" t="s">
        <v>2331</v>
      </c>
      <c r="C327">
        <v>5697</v>
      </c>
      <c r="D327" t="s">
        <v>2201</v>
      </c>
      <c r="E327" t="s">
        <v>2036</v>
      </c>
      <c r="F327">
        <v>202208</v>
      </c>
      <c r="G327" t="s">
        <v>2166</v>
      </c>
      <c r="H327">
        <v>11.83</v>
      </c>
    </row>
    <row r="328" spans="1:8">
      <c r="A328">
        <v>5372</v>
      </c>
      <c r="B328" t="s">
        <v>2331</v>
      </c>
      <c r="C328">
        <v>5697</v>
      </c>
      <c r="D328" t="s">
        <v>2201</v>
      </c>
      <c r="E328" t="s">
        <v>2036</v>
      </c>
      <c r="F328">
        <v>202208</v>
      </c>
      <c r="G328" t="s">
        <v>2167</v>
      </c>
      <c r="H328">
        <v>21.22</v>
      </c>
    </row>
    <row r="329" spans="1:8">
      <c r="A329">
        <v>5372</v>
      </c>
      <c r="B329" t="s">
        <v>2331</v>
      </c>
      <c r="C329">
        <v>5697</v>
      </c>
      <c r="D329" t="s">
        <v>2201</v>
      </c>
      <c r="E329" t="s">
        <v>2036</v>
      </c>
      <c r="F329">
        <v>202208</v>
      </c>
      <c r="G329" t="s">
        <v>2168</v>
      </c>
      <c r="H329">
        <v>14.37</v>
      </c>
    </row>
    <row r="330" spans="1:8">
      <c r="A330">
        <v>5372</v>
      </c>
      <c r="B330" t="s">
        <v>2331</v>
      </c>
      <c r="C330">
        <v>5697</v>
      </c>
      <c r="D330" t="s">
        <v>2201</v>
      </c>
      <c r="E330" t="s">
        <v>2036</v>
      </c>
      <c r="F330">
        <v>202208</v>
      </c>
      <c r="G330" t="s">
        <v>2171</v>
      </c>
      <c r="H330">
        <v>125445.09</v>
      </c>
    </row>
    <row r="331" spans="1:8">
      <c r="A331">
        <v>5372</v>
      </c>
      <c r="B331" t="s">
        <v>2331</v>
      </c>
      <c r="C331">
        <v>5697</v>
      </c>
      <c r="D331" t="s">
        <v>2201</v>
      </c>
      <c r="E331" t="s">
        <v>2036</v>
      </c>
      <c r="F331">
        <v>202208</v>
      </c>
      <c r="G331" t="s">
        <v>190</v>
      </c>
      <c r="H331">
        <v>100000</v>
      </c>
    </row>
    <row r="332" spans="1:8">
      <c r="A332">
        <v>5372</v>
      </c>
      <c r="B332" t="s">
        <v>2331</v>
      </c>
      <c r="C332">
        <v>5697</v>
      </c>
      <c r="D332" t="s">
        <v>2201</v>
      </c>
      <c r="E332" t="s">
        <v>2036</v>
      </c>
      <c r="F332">
        <v>202208</v>
      </c>
      <c r="G332" t="s">
        <v>191</v>
      </c>
      <c r="H332">
        <v>0</v>
      </c>
    </row>
    <row r="333" spans="1:8">
      <c r="A333">
        <v>5372</v>
      </c>
      <c r="B333" t="s">
        <v>2331</v>
      </c>
      <c r="C333">
        <v>5697</v>
      </c>
      <c r="D333" t="s">
        <v>2201</v>
      </c>
      <c r="E333" t="s">
        <v>2036</v>
      </c>
      <c r="F333">
        <v>202208</v>
      </c>
      <c r="G333" t="s">
        <v>176</v>
      </c>
      <c r="H333">
        <v>0</v>
      </c>
    </row>
    <row r="334" spans="1:8">
      <c r="A334">
        <v>5372</v>
      </c>
      <c r="B334" t="s">
        <v>2331</v>
      </c>
      <c r="C334">
        <v>5697</v>
      </c>
      <c r="D334" t="s">
        <v>2201</v>
      </c>
      <c r="E334" t="s">
        <v>2036</v>
      </c>
      <c r="F334">
        <v>202208</v>
      </c>
      <c r="G334" t="s">
        <v>178</v>
      </c>
      <c r="H334">
        <v>5500</v>
      </c>
    </row>
    <row r="335" spans="1:8">
      <c r="A335">
        <v>5372</v>
      </c>
      <c r="B335" t="s">
        <v>2331</v>
      </c>
      <c r="C335">
        <v>5697</v>
      </c>
      <c r="D335" t="s">
        <v>2201</v>
      </c>
      <c r="E335" t="s">
        <v>2036</v>
      </c>
      <c r="F335">
        <v>202208</v>
      </c>
      <c r="G335" t="s">
        <v>180</v>
      </c>
      <c r="H335">
        <v>5000</v>
      </c>
    </row>
    <row r="336" spans="1:8">
      <c r="A336">
        <v>5372</v>
      </c>
      <c r="B336" t="s">
        <v>2331</v>
      </c>
      <c r="C336">
        <v>5697</v>
      </c>
      <c r="D336" t="s">
        <v>2201</v>
      </c>
      <c r="E336" t="s">
        <v>2036</v>
      </c>
      <c r="F336">
        <v>202208</v>
      </c>
      <c r="G336" t="s">
        <v>182</v>
      </c>
      <c r="H336">
        <v>2073173</v>
      </c>
    </row>
    <row r="337" spans="1:8">
      <c r="A337">
        <v>5372</v>
      </c>
      <c r="B337" t="s">
        <v>2331</v>
      </c>
      <c r="C337">
        <v>5697</v>
      </c>
      <c r="D337" t="s">
        <v>2201</v>
      </c>
      <c r="E337" t="s">
        <v>2036</v>
      </c>
      <c r="F337">
        <v>202208</v>
      </c>
      <c r="G337" t="s">
        <v>184</v>
      </c>
      <c r="H337">
        <v>213241</v>
      </c>
    </row>
    <row r="338" spans="1:8">
      <c r="A338">
        <v>5372</v>
      </c>
      <c r="B338" t="s">
        <v>2331</v>
      </c>
      <c r="C338">
        <v>5697</v>
      </c>
      <c r="D338" t="s">
        <v>2201</v>
      </c>
      <c r="E338" t="s">
        <v>2036</v>
      </c>
      <c r="F338">
        <v>202208</v>
      </c>
      <c r="G338" t="s">
        <v>192</v>
      </c>
      <c r="H338">
        <v>0</v>
      </c>
    </row>
    <row r="339" spans="1:8">
      <c r="A339">
        <v>5372</v>
      </c>
      <c r="B339" t="s">
        <v>2331</v>
      </c>
      <c r="C339">
        <v>5697</v>
      </c>
      <c r="D339" t="s">
        <v>2201</v>
      </c>
      <c r="E339" t="s">
        <v>2036</v>
      </c>
      <c r="F339">
        <v>202208</v>
      </c>
      <c r="G339" t="s">
        <v>2170</v>
      </c>
      <c r="H339">
        <v>12412.96</v>
      </c>
    </row>
    <row r="340" spans="1:8">
      <c r="A340">
        <v>5372</v>
      </c>
      <c r="B340" t="s">
        <v>2331</v>
      </c>
      <c r="C340">
        <v>5697</v>
      </c>
      <c r="D340" t="s">
        <v>2201</v>
      </c>
      <c r="E340" t="s">
        <v>2036</v>
      </c>
      <c r="F340">
        <v>202208</v>
      </c>
      <c r="G340" t="s">
        <v>186</v>
      </c>
      <c r="H340">
        <v>0</v>
      </c>
    </row>
    <row r="341" spans="1:8">
      <c r="A341">
        <v>5372</v>
      </c>
      <c r="B341" t="s">
        <v>2331</v>
      </c>
      <c r="C341">
        <v>5697</v>
      </c>
      <c r="D341" t="s">
        <v>2201</v>
      </c>
      <c r="E341" t="s">
        <v>2036</v>
      </c>
      <c r="F341">
        <v>202208</v>
      </c>
      <c r="G341" t="s">
        <v>2169</v>
      </c>
      <c r="H341">
        <v>313.3</v>
      </c>
    </row>
    <row r="342" spans="1:8">
      <c r="A342">
        <v>5372</v>
      </c>
      <c r="B342" t="s">
        <v>2331</v>
      </c>
      <c r="C342">
        <v>5697</v>
      </c>
      <c r="D342" t="s">
        <v>2201</v>
      </c>
      <c r="E342" t="s">
        <v>2036</v>
      </c>
      <c r="F342">
        <v>202208</v>
      </c>
      <c r="G342" t="s">
        <v>2166</v>
      </c>
      <c r="H342">
        <v>11.83</v>
      </c>
    </row>
    <row r="343" spans="1:8">
      <c r="A343">
        <v>5372</v>
      </c>
      <c r="B343" t="s">
        <v>2331</v>
      </c>
      <c r="C343">
        <v>5697</v>
      </c>
      <c r="D343" t="s">
        <v>2201</v>
      </c>
      <c r="E343" t="s">
        <v>2036</v>
      </c>
      <c r="F343">
        <v>202208</v>
      </c>
      <c r="G343" t="s">
        <v>2167</v>
      </c>
      <c r="H343">
        <v>21.22</v>
      </c>
    </row>
    <row r="344" spans="1:8">
      <c r="A344">
        <v>5372</v>
      </c>
      <c r="B344" t="s">
        <v>2331</v>
      </c>
      <c r="C344">
        <v>5697</v>
      </c>
      <c r="D344" t="s">
        <v>2201</v>
      </c>
      <c r="E344" t="s">
        <v>2036</v>
      </c>
      <c r="F344">
        <v>202208</v>
      </c>
      <c r="G344" t="s">
        <v>2168</v>
      </c>
      <c r="H344">
        <v>14.37</v>
      </c>
    </row>
    <row r="345" spans="1:8">
      <c r="A345">
        <v>5372</v>
      </c>
      <c r="B345" t="s">
        <v>2331</v>
      </c>
      <c r="C345">
        <v>5697</v>
      </c>
      <c r="D345" t="s">
        <v>2201</v>
      </c>
      <c r="E345" t="s">
        <v>2036</v>
      </c>
      <c r="F345">
        <v>202208</v>
      </c>
      <c r="G345" t="s">
        <v>2171</v>
      </c>
      <c r="H345">
        <v>247763.72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2022</v>
      </c>
    </row>
    <row r="3" spans="1:50">
      <c r="A3" s="63" t="s">
        <v>195</v>
      </c>
      <c r="AI3" t="s">
        <v>2023</v>
      </c>
    </row>
    <row r="4" spans="1:50">
      <c r="A4" s="63" t="s">
        <v>196</v>
      </c>
    </row>
    <row r="7" spans="1:50">
      <c r="A7" s="626" t="s">
        <v>197</v>
      </c>
      <c r="M7" t="s">
        <v>2021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23" t="s">
        <v>2286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2285</v>
      </c>
      <c r="X9" s="777" t="s">
        <v>198</v>
      </c>
      <c r="Y9" s="778" t="s">
        <v>219</v>
      </c>
      <c r="AB9" t="s">
        <v>198</v>
      </c>
      <c r="AC9" t="s">
        <v>2287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24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1">
        <v>0</v>
      </c>
      <c r="Q10" s="613"/>
      <c r="R10" s="710">
        <v>42613</v>
      </c>
      <c r="S10" s="710" t="s">
        <v>229</v>
      </c>
      <c r="T10" s="710"/>
      <c r="U10" s="233"/>
      <c r="V10" s="17"/>
      <c r="X10" s="781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24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1">
        <v>0</v>
      </c>
      <c r="Q11" s="613"/>
      <c r="R11" s="710">
        <v>42613</v>
      </c>
      <c r="S11" s="710" t="s">
        <v>229</v>
      </c>
      <c r="T11" s="710"/>
      <c r="U11" s="233"/>
      <c r="V11" s="17"/>
      <c r="X11" s="781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24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1">
        <v>0</v>
      </c>
      <c r="Q12" s="613"/>
      <c r="R12" s="710">
        <v>42673</v>
      </c>
      <c r="S12" s="710" t="s">
        <v>229</v>
      </c>
      <c r="T12" s="710"/>
      <c r="U12" s="233"/>
      <c r="V12" s="17"/>
      <c r="X12" s="781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24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1">
        <v>0</v>
      </c>
      <c r="Q13" s="613"/>
      <c r="R13" s="710">
        <v>42410</v>
      </c>
      <c r="S13" s="710" t="s">
        <v>229</v>
      </c>
      <c r="T13" s="710"/>
      <c r="U13" s="233"/>
      <c r="V13" s="17"/>
      <c r="X13" s="781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24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1">
        <v>0</v>
      </c>
      <c r="Q14" s="613"/>
      <c r="R14" s="710">
        <v>42562</v>
      </c>
      <c r="S14" s="710" t="s">
        <v>229</v>
      </c>
      <c r="T14" s="710"/>
      <c r="U14" s="233"/>
      <c r="V14" s="17"/>
      <c r="X14" s="781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24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1">
        <v>0</v>
      </c>
      <c r="Q15" s="613"/>
      <c r="R15" s="710">
        <v>42673</v>
      </c>
      <c r="S15" s="710" t="s">
        <v>229</v>
      </c>
      <c r="T15" s="710"/>
      <c r="U15" s="233"/>
      <c r="V15" s="17"/>
      <c r="X15" s="781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24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1">
        <v>0</v>
      </c>
      <c r="Q16" s="613"/>
      <c r="R16" s="710">
        <v>42507</v>
      </c>
      <c r="S16" s="710" t="s">
        <v>229</v>
      </c>
      <c r="T16" s="710"/>
      <c r="U16" s="233"/>
      <c r="V16" s="17"/>
      <c r="X16" s="781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24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1">
        <v>0</v>
      </c>
      <c r="Q17" s="613"/>
      <c r="R17" s="710">
        <v>42475</v>
      </c>
      <c r="S17" s="710" t="s">
        <v>229</v>
      </c>
      <c r="T17" s="710"/>
      <c r="U17" s="233"/>
      <c r="V17" s="17"/>
      <c r="X17" s="781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24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1">
        <v>0</v>
      </c>
      <c r="Q18" s="613"/>
      <c r="R18" s="710">
        <v>42475</v>
      </c>
      <c r="S18" s="710" t="s">
        <v>229</v>
      </c>
      <c r="T18" s="710"/>
      <c r="U18" s="233"/>
      <c r="V18" s="17"/>
      <c r="X18" s="781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24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1">
        <v>0</v>
      </c>
      <c r="Q19" s="613"/>
      <c r="R19" s="710">
        <v>42673</v>
      </c>
      <c r="S19" s="710" t="s">
        <v>229</v>
      </c>
      <c r="T19" s="710"/>
      <c r="U19" s="233"/>
      <c r="V19" s="17"/>
      <c r="X19" s="781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24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1">
        <v>0</v>
      </c>
      <c r="Q20" s="613"/>
      <c r="R20" s="710">
        <v>42641</v>
      </c>
      <c r="S20" s="710" t="s">
        <v>229</v>
      </c>
      <c r="T20" s="710"/>
      <c r="U20" s="233"/>
      <c r="V20" s="17"/>
      <c r="X20" s="781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24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1">
        <v>0</v>
      </c>
      <c r="Q21" s="613"/>
      <c r="R21" s="710">
        <v>42641</v>
      </c>
      <c r="S21" s="710" t="s">
        <v>229</v>
      </c>
      <c r="T21" s="710"/>
      <c r="U21" s="233"/>
      <c r="V21" s="17"/>
      <c r="X21" s="781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24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1">
        <v>0</v>
      </c>
      <c r="Q22" s="613"/>
      <c r="R22" s="710">
        <v>42641</v>
      </c>
      <c r="S22" s="710" t="s">
        <v>229</v>
      </c>
      <c r="T22" s="710"/>
      <c r="U22" s="233"/>
      <c r="V22" s="17"/>
      <c r="X22" s="781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24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1">
        <v>0</v>
      </c>
      <c r="Q23" s="613"/>
      <c r="R23" s="710">
        <v>42641</v>
      </c>
      <c r="S23" s="710" t="s">
        <v>229</v>
      </c>
      <c r="T23" s="710"/>
      <c r="U23" s="233"/>
      <c r="V23" s="17"/>
      <c r="X23" s="781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24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1">
        <v>0</v>
      </c>
      <c r="Q24" s="613"/>
      <c r="R24" s="710">
        <v>42641</v>
      </c>
      <c r="S24" s="710" t="s">
        <v>229</v>
      </c>
      <c r="T24" s="710"/>
      <c r="U24" s="233"/>
      <c r="V24" s="17"/>
      <c r="X24" s="781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24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1">
        <v>0</v>
      </c>
      <c r="Q25" s="613"/>
      <c r="R25" s="710">
        <v>42641</v>
      </c>
      <c r="S25" s="710" t="s">
        <v>229</v>
      </c>
      <c r="T25" s="710"/>
      <c r="U25" s="233"/>
      <c r="V25" s="17"/>
      <c r="X25" s="781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24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1">
        <v>0</v>
      </c>
      <c r="Q26" s="613"/>
      <c r="R26" s="710">
        <v>42641</v>
      </c>
      <c r="S26" s="710" t="s">
        <v>229</v>
      </c>
      <c r="T26" s="710"/>
      <c r="U26" s="233"/>
      <c r="V26" s="17"/>
      <c r="X26" s="781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24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1">
        <v>0</v>
      </c>
      <c r="Q27" s="613"/>
      <c r="R27" s="710">
        <v>42641</v>
      </c>
      <c r="S27" s="710" t="s">
        <v>229</v>
      </c>
      <c r="T27" s="710"/>
      <c r="U27" s="233"/>
      <c r="V27" s="17"/>
      <c r="X27" s="781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24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1">
        <v>0</v>
      </c>
      <c r="Q28" s="613"/>
      <c r="R28" s="710">
        <v>42641</v>
      </c>
      <c r="S28" s="710" t="s">
        <v>229</v>
      </c>
      <c r="T28" s="710"/>
      <c r="U28" s="233"/>
      <c r="V28" s="17"/>
      <c r="X28" s="781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24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1">
        <v>0</v>
      </c>
      <c r="Q29" s="613"/>
      <c r="R29" s="710">
        <v>42641</v>
      </c>
      <c r="S29" s="710" t="s">
        <v>229</v>
      </c>
      <c r="T29" s="710"/>
      <c r="U29" s="233"/>
      <c r="V29" s="17"/>
      <c r="X29" s="781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24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1">
        <v>0</v>
      </c>
      <c r="Q30" s="613"/>
      <c r="R30" s="710">
        <v>42641</v>
      </c>
      <c r="S30" s="710" t="s">
        <v>229</v>
      </c>
      <c r="T30" s="710"/>
      <c r="U30" s="233"/>
      <c r="V30" s="17"/>
      <c r="X30" s="781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24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1">
        <v>0</v>
      </c>
      <c r="Q31" s="613"/>
      <c r="R31" s="710">
        <v>42641</v>
      </c>
      <c r="S31" s="710" t="s">
        <v>229</v>
      </c>
      <c r="T31" s="710"/>
      <c r="U31" s="233"/>
      <c r="V31" s="17"/>
      <c r="X31" s="781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24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1">
        <v>0</v>
      </c>
      <c r="Q32" s="613"/>
      <c r="R32" s="710">
        <v>42641</v>
      </c>
      <c r="S32" s="710" t="s">
        <v>229</v>
      </c>
      <c r="T32" s="710"/>
      <c r="U32" s="233"/>
      <c r="V32" s="17"/>
      <c r="X32" s="781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24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1">
        <v>0</v>
      </c>
      <c r="Q33" s="613"/>
      <c r="R33" s="710">
        <v>42641</v>
      </c>
      <c r="S33" s="710" t="s">
        <v>229</v>
      </c>
      <c r="T33" s="710"/>
      <c r="U33" s="233"/>
      <c r="V33" s="17"/>
      <c r="X33" s="781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24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1">
        <v>0</v>
      </c>
      <c r="Q34" s="613"/>
      <c r="R34" s="710">
        <v>42641</v>
      </c>
      <c r="S34" s="710" t="s">
        <v>229</v>
      </c>
      <c r="T34" s="710"/>
      <c r="U34" s="233"/>
      <c r="V34" s="17"/>
      <c r="X34" s="781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24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1">
        <v>0</v>
      </c>
      <c r="Q35" s="613"/>
      <c r="R35" s="710">
        <v>42641</v>
      </c>
      <c r="S35" s="710" t="s">
        <v>229</v>
      </c>
      <c r="T35" s="710"/>
      <c r="U35" s="233"/>
      <c r="V35" s="17"/>
      <c r="X35" s="781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24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1">
        <v>0</v>
      </c>
      <c r="Q36" s="613"/>
      <c r="R36" s="710">
        <v>42641</v>
      </c>
      <c r="S36" s="710" t="s">
        <v>229</v>
      </c>
      <c r="T36" s="710"/>
      <c r="U36" s="233"/>
      <c r="V36" s="17"/>
      <c r="X36" s="781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24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1">
        <v>0</v>
      </c>
      <c r="Q37" s="613"/>
      <c r="R37" s="710">
        <v>42551</v>
      </c>
      <c r="S37" s="710" t="s">
        <v>229</v>
      </c>
      <c r="T37" s="710"/>
      <c r="U37" s="233"/>
      <c r="V37" s="17"/>
      <c r="X37" s="781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24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1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81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24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1">
        <v>0</v>
      </c>
      <c r="Q39" s="613"/>
      <c r="R39" s="710">
        <v>42486</v>
      </c>
      <c r="S39" s="710" t="s">
        <v>229</v>
      </c>
      <c r="T39" s="710"/>
      <c r="U39" s="233"/>
      <c r="V39" s="17"/>
      <c r="X39" s="781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24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1">
        <v>0</v>
      </c>
      <c r="Q40" s="613"/>
      <c r="R40" s="710">
        <v>42547</v>
      </c>
      <c r="S40" s="710" t="s">
        <v>229</v>
      </c>
      <c r="T40" s="710"/>
      <c r="U40" s="233"/>
      <c r="V40" s="17"/>
      <c r="X40" s="781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24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1">
        <v>0</v>
      </c>
      <c r="Q41" s="613"/>
      <c r="R41" s="710">
        <v>42551</v>
      </c>
      <c r="S41" s="710" t="s">
        <v>229</v>
      </c>
      <c r="T41" s="710"/>
      <c r="U41" s="233"/>
      <c r="V41" s="17"/>
      <c r="X41" s="781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24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1">
        <v>0</v>
      </c>
      <c r="Q42" s="613"/>
      <c r="R42" s="710">
        <v>42551</v>
      </c>
      <c r="S42" s="710" t="s">
        <v>229</v>
      </c>
      <c r="T42" s="710"/>
      <c r="U42" s="233"/>
      <c r="V42" s="17"/>
      <c r="X42" s="781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24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1">
        <v>0</v>
      </c>
      <c r="Q43" s="613"/>
      <c r="R43" s="710">
        <v>42551</v>
      </c>
      <c r="S43" s="710" t="s">
        <v>229</v>
      </c>
      <c r="T43" s="710"/>
      <c r="U43" s="233"/>
      <c r="V43" s="17"/>
      <c r="X43" s="781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24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1">
        <v>0</v>
      </c>
      <c r="Q44" s="613"/>
      <c r="R44" s="710">
        <v>42551</v>
      </c>
      <c r="S44" s="710" t="s">
        <v>229</v>
      </c>
      <c r="T44" s="710"/>
      <c r="U44" s="233"/>
      <c r="V44" s="17"/>
      <c r="X44" s="781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24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1">
        <v>0</v>
      </c>
      <c r="Q45" s="613"/>
      <c r="R45" s="710">
        <v>42551</v>
      </c>
      <c r="S45" s="710" t="s">
        <v>229</v>
      </c>
      <c r="T45" s="710"/>
      <c r="U45" s="233"/>
      <c r="V45" s="17"/>
      <c r="X45" s="781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24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1">
        <v>0</v>
      </c>
      <c r="Q46" s="613"/>
      <c r="R46" s="710">
        <v>42451</v>
      </c>
      <c r="S46" s="710" t="s">
        <v>229</v>
      </c>
      <c r="T46" s="710"/>
      <c r="U46" s="233"/>
      <c r="V46" s="17"/>
      <c r="X46" s="781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24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1">
        <v>0</v>
      </c>
      <c r="Q47" s="613"/>
      <c r="R47" s="710">
        <v>42489</v>
      </c>
      <c r="S47" s="710" t="s">
        <v>229</v>
      </c>
      <c r="T47" s="710"/>
      <c r="U47" s="233"/>
      <c r="V47" s="17"/>
      <c r="X47" s="781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2" t="s">
        <v>442</v>
      </c>
      <c r="H48" s="710" t="s">
        <v>443</v>
      </c>
      <c r="I48" s="1724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81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2" t="s">
        <v>450</v>
      </c>
      <c r="H49" s="710" t="s">
        <v>451</v>
      </c>
      <c r="I49" s="1724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81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2" t="s">
        <v>455</v>
      </c>
      <c r="H50" s="710" t="s">
        <v>456</v>
      </c>
      <c r="I50" s="1724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81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2" t="s">
        <v>461</v>
      </c>
      <c r="H51" s="710" t="s">
        <v>462</v>
      </c>
      <c r="I51" s="1724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81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2" t="s">
        <v>467</v>
      </c>
      <c r="H52" s="710" t="s">
        <v>468</v>
      </c>
      <c r="I52" s="1724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81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2" t="s">
        <v>474</v>
      </c>
      <c r="H53" s="710" t="s">
        <v>475</v>
      </c>
      <c r="I53" s="1724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81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2" t="s">
        <v>480</v>
      </c>
      <c r="H54" s="710" t="s">
        <v>481</v>
      </c>
      <c r="I54" s="1724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81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2" t="s">
        <v>485</v>
      </c>
      <c r="H55" s="710" t="s">
        <v>486</v>
      </c>
      <c r="I55" s="1724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81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2" t="s">
        <v>490</v>
      </c>
      <c r="H56" s="710" t="s">
        <v>491</v>
      </c>
      <c r="I56" s="1724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2" t="s">
        <v>496</v>
      </c>
      <c r="H57" s="710" t="s">
        <v>497</v>
      </c>
      <c r="I57" s="1724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24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81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24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81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24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81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2" t="s">
        <v>518</v>
      </c>
      <c r="I61" s="1724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2"/>
      <c r="R61" s="822"/>
      <c r="S61" s="710" t="s">
        <v>519</v>
      </c>
      <c r="T61" s="822">
        <v>44105</v>
      </c>
      <c r="X61" s="613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51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2026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3">
        <v>0</v>
      </c>
      <c r="M74" s="1442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3">
        <v>0.29099999999999998</v>
      </c>
      <c r="M75" s="1443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3">
        <v>0.56379999999999997</v>
      </c>
      <c r="M76" s="1443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3">
        <v>0.2326</v>
      </c>
      <c r="M78" s="1443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3">
        <v>0.2326</v>
      </c>
      <c r="M79" s="1443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3">
        <v>9.9400000000000002E-2</v>
      </c>
      <c r="M80" s="1443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3">
        <v>9.9400000000000002E-2</v>
      </c>
      <c r="M81" s="1443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3">
        <v>0.63749999999999996</v>
      </c>
      <c r="M83" s="1443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3">
        <f>DescontosTE[[#This Row],[2019]]</f>
        <v>0.43730000000000002</v>
      </c>
      <c r="M84" s="1444">
        <f>DescontosTE[[#This Row],[2020]]</f>
        <v>0.43730000000000002</v>
      </c>
      <c r="N84" s="1444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3">
        <v>0.25619999999999998</v>
      </c>
      <c r="M85" s="1443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3">
        <v>0.37969999999999998</v>
      </c>
      <c r="M86" s="1443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3">
        <v>0.55110000000000003</v>
      </c>
      <c r="M87" s="1443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3">
        <v>0.2132</v>
      </c>
      <c r="M88" s="1443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3">
        <v>0.2132</v>
      </c>
      <c r="M89" s="1443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3">
        <v>0.2132</v>
      </c>
      <c r="M90" s="1443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6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80">
        <v>1.2E-2</v>
      </c>
      <c r="L92" s="823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80">
        <v>1.2E-2</v>
      </c>
      <c r="L93" s="823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80">
        <v>1.2E-2</v>
      </c>
      <c r="L94" s="823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80">
        <v>1.2E-2</v>
      </c>
      <c r="L95" s="823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80">
        <v>1.2E-2</v>
      </c>
      <c r="L96" s="823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3">
        <v>0.58150000000000002</v>
      </c>
      <c r="M97" s="1443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3">
        <v>0.55579999999999996</v>
      </c>
      <c r="M102" s="1443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3">
        <v>0.55579999999999996</v>
      </c>
      <c r="M103" s="1443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3">
        <v>0.44540000000000002</v>
      </c>
      <c r="M105" s="1443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3">
        <v>7.5600000000000001E-2</v>
      </c>
      <c r="M107" s="1443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3">
        <v>7.5600000000000001E-2</v>
      </c>
      <c r="M108" s="1443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3">
        <v>0.48139999999999999</v>
      </c>
      <c r="M109" s="1443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3">
        <v>0.55869999999999997</v>
      </c>
      <c r="M110" s="1443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3">
        <v>0.35730000000000001</v>
      </c>
      <c r="M114" s="1443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3">
        <v>0.35730000000000001</v>
      </c>
      <c r="M115" s="1443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3">
        <v>0.81359999999999999</v>
      </c>
      <c r="M116" s="1443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3">
        <v>0.59</v>
      </c>
      <c r="M119" s="1443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3">
        <v>0.42730000000000001</v>
      </c>
      <c r="M120" s="1443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3">
        <v>0.42730000000000001</v>
      </c>
      <c r="M121" s="1443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3">
        <v>0.42730000000000001</v>
      </c>
      <c r="M122" s="1443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3">
        <v>3.3399999999999999E-2</v>
      </c>
      <c r="M125" s="1443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3">
        <v>0.28499999999999998</v>
      </c>
      <c r="M130" s="1443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3">
        <v>0.214</v>
      </c>
      <c r="M131" s="1443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3">
        <v>2.07E-2</v>
      </c>
      <c r="M132" s="1443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80">
        <v>0.38529999999999998</v>
      </c>
      <c r="L133" s="823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80">
        <v>0.38030000000000003</v>
      </c>
      <c r="L134" s="823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80">
        <v>0.1401</v>
      </c>
      <c r="L135" s="823">
        <v>0.1401</v>
      </c>
      <c r="M135" s="1443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80">
        <v>0.22370000000000001</v>
      </c>
      <c r="L136" s="823">
        <v>0.1273</v>
      </c>
      <c r="M136" s="1443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80">
        <v>0.42030000000000001</v>
      </c>
      <c r="L137" s="823">
        <v>0.33839999999999998</v>
      </c>
      <c r="M137" s="1443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80">
        <v>0.4153</v>
      </c>
      <c r="L138" s="823">
        <v>0.33839999999999998</v>
      </c>
      <c r="M138" s="1443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80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80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80">
        <v>0.3735</v>
      </c>
      <c r="L141" s="823">
        <v>0.29289999999999999</v>
      </c>
      <c r="M141" s="1443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80">
        <v>0.34079999999999999</v>
      </c>
      <c r="L142" s="823">
        <v>0.25679999999999997</v>
      </c>
      <c r="M142" s="1443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80">
        <v>0.28170000000000001</v>
      </c>
      <c r="L143" s="823">
        <v>0.25019999999999998</v>
      </c>
      <c r="M143" s="1443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80">
        <v>0.16650000000000001</v>
      </c>
      <c r="L144" s="823">
        <v>0.1057</v>
      </c>
      <c r="M144" s="1443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80">
        <v>0.33779999999999999</v>
      </c>
      <c r="L145" s="823">
        <v>0.20419999999999999</v>
      </c>
      <c r="M145" s="1443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80">
        <v>0.48630000000000001</v>
      </c>
      <c r="L146" s="823">
        <v>0.37609999999999999</v>
      </c>
      <c r="M146" s="1443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80">
        <v>0.18690000000000001</v>
      </c>
      <c r="L147" s="823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80">
        <v>0.18690000000000001</v>
      </c>
      <c r="L148" s="823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500"/>
      <c r="K149" s="780"/>
      <c r="L149" s="823">
        <v>0.1426</v>
      </c>
      <c r="M149" s="1443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3">
        <v>0.1426</v>
      </c>
      <c r="AS150" s="817"/>
      <c r="AX150" s="817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2026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9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9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9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9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9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9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9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9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9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9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9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9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9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9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9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9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9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9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9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9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9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9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9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9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9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9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9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9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9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9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9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9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9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9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9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9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9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9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9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9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9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9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9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9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9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9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9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9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9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9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5" t="s">
        <v>265</v>
      </c>
      <c r="C207" s="232"/>
      <c r="D207" s="232"/>
      <c r="E207" s="232"/>
      <c r="F207" s="232"/>
      <c r="G207" s="232"/>
      <c r="H207" s="232"/>
      <c r="K207" s="779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5" t="s">
        <v>258</v>
      </c>
      <c r="C208" s="232"/>
      <c r="D208" s="232"/>
      <c r="E208" s="232"/>
      <c r="F208" s="232"/>
      <c r="G208" s="232"/>
      <c r="H208" s="232"/>
      <c r="K208" s="779"/>
      <c r="L208">
        <f>357.76+231.81</f>
        <v>589.56999999999994</v>
      </c>
      <c r="M208" s="408">
        <v>677.96999999999991</v>
      </c>
      <c r="O208" s="812" t="s">
        <v>552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9">
        <f>397.32+270.9</f>
        <v>668.22</v>
      </c>
      <c r="L209">
        <v>683.67</v>
      </c>
      <c r="M209" s="507">
        <v>714.43999999999994</v>
      </c>
      <c r="N209">
        <v>838.02</v>
      </c>
      <c r="O209" s="812" t="s">
        <v>553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9">
        <v>469.78</v>
      </c>
      <c r="L210">
        <v>505.99000000000007</v>
      </c>
      <c r="M210" s="408">
        <v>532.24</v>
      </c>
      <c r="O210" s="812" t="s">
        <v>554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555</v>
      </c>
      <c r="P211" s="813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9">
        <v>517.61</v>
      </c>
      <c r="L212">
        <v>512.77</v>
      </c>
      <c r="M212" s="408">
        <v>558.81000000000006</v>
      </c>
      <c r="O212" s="812" t="s">
        <v>556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9">
        <v>523.02</v>
      </c>
      <c r="L213">
        <v>550.20000000000005</v>
      </c>
      <c r="M213">
        <v>595.66</v>
      </c>
      <c r="N213">
        <v>678.65</v>
      </c>
      <c r="O213" s="812" t="s">
        <v>557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9">
        <v>490.18</v>
      </c>
      <c r="L214">
        <v>533.54999999999995</v>
      </c>
      <c r="M214" s="408">
        <v>619.94000000000005</v>
      </c>
      <c r="O214" s="812" t="s">
        <v>558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9">
        <f>303.99+243.7</f>
        <v>547.69000000000005</v>
      </c>
      <c r="L215">
        <v>541.15</v>
      </c>
      <c r="M215" s="818">
        <v>564.97</v>
      </c>
      <c r="N215">
        <v>606.77</v>
      </c>
      <c r="O215" s="812" t="s">
        <v>559</v>
      </c>
      <c r="P215" s="813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9">
        <v>525.73</v>
      </c>
      <c r="L216" s="631">
        <v>546.10945347732809</v>
      </c>
      <c r="M216" s="408">
        <v>635.92000000000007</v>
      </c>
      <c r="N216" s="810"/>
      <c r="O216" s="812" t="s">
        <v>560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9">
        <v>531.87</v>
      </c>
      <c r="L217" s="631">
        <v>555.04999999999995</v>
      </c>
      <c r="M217" s="408">
        <v>622.58000000000004</v>
      </c>
      <c r="O217" s="812" t="s">
        <v>561</v>
      </c>
      <c r="P217" s="813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9">
        <v>515.59</v>
      </c>
      <c r="L218" s="631">
        <v>534.19000000000005</v>
      </c>
      <c r="M218" s="408">
        <v>594.49</v>
      </c>
      <c r="O218" s="812" t="s">
        <v>562</v>
      </c>
      <c r="P218" s="813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9">
        <v>530.72</v>
      </c>
      <c r="L219" s="631">
        <v>535.51</v>
      </c>
      <c r="M219" s="232">
        <v>580.43681504518099</v>
      </c>
      <c r="N219">
        <v>677.99</v>
      </c>
      <c r="O219" s="812" t="s">
        <v>563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9">
        <v>560.27</v>
      </c>
      <c r="L220" s="631">
        <v>589.57000000000005</v>
      </c>
      <c r="M220" s="408">
        <v>643.09</v>
      </c>
      <c r="O220" s="812" t="s">
        <v>564</v>
      </c>
      <c r="P220" s="813" t="e">
        <v>#N/A</v>
      </c>
    </row>
    <row r="221" spans="1:50">
      <c r="A221" t="s">
        <v>27</v>
      </c>
      <c r="B221" s="468" t="s">
        <v>291</v>
      </c>
      <c r="J221">
        <v>547.6</v>
      </c>
      <c r="K221" s="779">
        <v>515.07000000000005</v>
      </c>
      <c r="L221">
        <v>548.96999999999991</v>
      </c>
      <c r="M221" s="408">
        <v>629.70000000000005</v>
      </c>
      <c r="O221" s="812" t="s">
        <v>565</v>
      </c>
      <c r="P221" s="813" t="e">
        <v>#N/A</v>
      </c>
    </row>
    <row r="222" spans="1:50">
      <c r="A222" t="s">
        <v>27</v>
      </c>
      <c r="B222" s="468" t="s">
        <v>545</v>
      </c>
      <c r="K222" s="779"/>
      <c r="L222">
        <v>571.71</v>
      </c>
      <c r="M222" s="408">
        <v>605.55000000000007</v>
      </c>
      <c r="O222" s="812" t="s">
        <v>566</v>
      </c>
      <c r="P222" s="825" t="e">
        <v>#N/A</v>
      </c>
      <c r="AS222" s="817"/>
      <c r="AX222" s="817"/>
    </row>
    <row r="223" spans="1:50">
      <c r="O223" s="812" t="s">
        <v>567</v>
      </c>
      <c r="P223" s="813" t="e">
        <v>#N/A</v>
      </c>
    </row>
    <row r="224" spans="1:50">
      <c r="O224" s="812" t="s">
        <v>568</v>
      </c>
      <c r="P224" s="813" t="e">
        <v>#N/A</v>
      </c>
    </row>
    <row r="225" spans="11:16">
      <c r="K225" s="813">
        <v>547.69000000000005</v>
      </c>
      <c r="O225" s="812" t="s">
        <v>569</v>
      </c>
      <c r="P225" s="813" t="e">
        <v>#N/A</v>
      </c>
    </row>
    <row r="226" spans="11:16">
      <c r="O226" s="812" t="s">
        <v>570</v>
      </c>
      <c r="P226" s="813" t="e">
        <v>#N/A</v>
      </c>
    </row>
    <row r="227" spans="11:16">
      <c r="O227" s="812" t="s">
        <v>571</v>
      </c>
      <c r="P227" s="814" t="e">
        <v>#N/A</v>
      </c>
    </row>
    <row r="228" spans="11:16">
      <c r="O228" s="812" t="s">
        <v>572</v>
      </c>
      <c r="P228" s="814" t="e">
        <v>#N/A</v>
      </c>
    </row>
    <row r="229" spans="11:16">
      <c r="O229" s="812" t="s">
        <v>573</v>
      </c>
      <c r="P229" s="814" t="e">
        <v>#N/A</v>
      </c>
    </row>
    <row r="230" spans="11:16">
      <c r="O230" s="812" t="s">
        <v>574</v>
      </c>
      <c r="P230" s="814" t="e">
        <v>#N/A</v>
      </c>
    </row>
    <row r="231" spans="11:16">
      <c r="O231" s="812" t="s">
        <v>575</v>
      </c>
      <c r="P231" s="814" t="e">
        <v>#N/A</v>
      </c>
    </row>
    <row r="232" spans="11:16">
      <c r="O232" s="812" t="s">
        <v>576</v>
      </c>
      <c r="P232" s="814" t="e">
        <v>#N/A</v>
      </c>
    </row>
    <row r="233" spans="11:16">
      <c r="O233" s="812" t="s">
        <v>577</v>
      </c>
      <c r="P233" s="814" t="e">
        <v>#N/A</v>
      </c>
    </row>
    <row r="234" spans="11:16">
      <c r="O234" s="812" t="s">
        <v>578</v>
      </c>
      <c r="P234" s="814" t="e">
        <v>#N/A</v>
      </c>
    </row>
    <row r="235" spans="11:16">
      <c r="O235" s="812" t="s">
        <v>579</v>
      </c>
      <c r="P235" s="814">
        <v>979.23</v>
      </c>
    </row>
    <row r="236" spans="11:16">
      <c r="O236" s="812" t="s">
        <v>580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/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2158</v>
      </c>
      <c r="C1" s="962"/>
      <c r="D1" s="962"/>
      <c r="M1" s="534"/>
      <c r="BA1" s="472"/>
      <c r="BB1" s="472"/>
      <c r="BC1" s="472"/>
      <c r="BD1" s="472"/>
    </row>
    <row r="2" spans="1:84" ht="25.5">
      <c r="B2" s="535" t="str">
        <f>CAPA!C9</f>
        <v>Cejama</v>
      </c>
      <c r="C2" s="621"/>
      <c r="D2" s="536"/>
      <c r="E2" s="576" t="s">
        <v>581</v>
      </c>
      <c r="F2" s="576"/>
      <c r="G2" s="576"/>
      <c r="H2" s="599"/>
      <c r="M2" s="534"/>
      <c r="AK2" s="473"/>
      <c r="AZ2" s="1784" t="s">
        <v>582</v>
      </c>
      <c r="BA2" s="1785"/>
      <c r="BB2" s="1785"/>
      <c r="BC2" s="1785"/>
      <c r="BD2" s="1785"/>
      <c r="BE2" s="1785"/>
      <c r="BF2" s="1785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2024</v>
      </c>
      <c r="F3" s="571"/>
      <c r="G3" s="571"/>
      <c r="H3" s="524"/>
      <c r="M3" s="534"/>
      <c r="O3" s="376">
        <f>VALUE(RIGHT(P3,2))</f>
        <v>16</v>
      </c>
      <c r="P3" s="963" t="str">
        <f>VLOOKUP($C$9,Informacoes[],4,FALSE)</f>
        <v>C16</v>
      </c>
      <c r="Q3" s="963" t="str">
        <f>VLOOKUP($C$9,Informacoes[],2,FALSE)</f>
        <v>Cooperativa de Eletricidade Jacinto Machado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4" t="s">
        <v>2025</v>
      </c>
      <c r="F4" s="744"/>
      <c r="G4" s="744"/>
      <c r="H4" s="769"/>
      <c r="I4" s="537"/>
      <c r="M4" s="534"/>
      <c r="AZ4" s="835"/>
      <c r="BA4" s="964">
        <v>40940</v>
      </c>
      <c r="BB4" s="964" t="s">
        <v>548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4" t="s">
        <v>583</v>
      </c>
      <c r="F5" s="744"/>
      <c r="G5" s="744"/>
      <c r="H5" s="754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2160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2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2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9" t="s">
        <v>252</v>
      </c>
      <c r="D9" s="9"/>
      <c r="E9" s="1786" t="s">
        <v>585</v>
      </c>
      <c r="F9" s="1787"/>
      <c r="G9" s="1787"/>
      <c r="H9" s="1787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587</v>
      </c>
      <c r="C10" s="971" t="str">
        <f>IF(C9="Cercos","N/NE","S/SE/CO")</f>
        <v>S/SE/CO</v>
      </c>
      <c r="D10" s="9"/>
      <c r="E10" s="594"/>
      <c r="F10" s="595" t="s">
        <v>588</v>
      </c>
      <c r="G10" s="596">
        <v>44796.616400462961</v>
      </c>
      <c r="H10" s="972"/>
      <c r="I10" s="591"/>
      <c r="J10" s="743" t="s">
        <v>589</v>
      </c>
      <c r="K10" s="973">
        <f>IFERROR(O3+200,0)</f>
        <v>216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44816.391886574071</v>
      </c>
      <c r="H11" s="592"/>
      <c r="I11" s="593"/>
      <c r="J11" s="571" t="s">
        <v>591</v>
      </c>
      <c r="K11" s="598">
        <v>5372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746</v>
      </c>
      <c r="G12" s="596">
        <v>44796.616724537038</v>
      </c>
      <c r="H12" s="592"/>
      <c r="I12" s="593"/>
      <c r="J12" s="744" t="s">
        <v>593</v>
      </c>
      <c r="K12" s="753">
        <f>IF(idsreag=P7,Q7,idagente)</f>
        <v>5372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4">
        <f ca="1">YEAR(TODAY())</f>
        <v>2022</v>
      </c>
      <c r="D13" s="261"/>
      <c r="E13" s="594"/>
      <c r="F13" s="595" t="s">
        <v>595</v>
      </c>
      <c r="G13" s="596">
        <v>44812.655486111114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44812.656886574077</v>
      </c>
      <c r="H14" s="592"/>
      <c r="I14" s="9"/>
      <c r="J14" s="743" t="s">
        <v>599</v>
      </c>
      <c r="K14" s="973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44816.39435185185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44796.620127314818</v>
      </c>
      <c r="H16" s="975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44796.620625000003</v>
      </c>
      <c r="H17" s="9"/>
      <c r="I17" s="370"/>
      <c r="J17" s="571" t="s">
        <v>606</v>
      </c>
      <c r="K17" s="976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1" t="str">
        <f ca="1">C110</f>
        <v>REAJUSTE</v>
      </c>
      <c r="D18" s="261"/>
      <c r="E18" s="594"/>
      <c r="F18" s="595" t="s">
        <v>2132</v>
      </c>
      <c r="G18" s="596">
        <v>44816.663831018515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2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G21" s="533" t="s">
        <v>2394</v>
      </c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 t="s">
        <v>2411</v>
      </c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7"/>
      <c r="E26" s="978"/>
      <c r="F26" s="979"/>
      <c r="G26" s="980"/>
      <c r="H26" s="977"/>
      <c r="I26" s="977"/>
      <c r="J26" s="977"/>
      <c r="K26" s="981"/>
      <c r="L26" s="982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802" t="s">
        <v>2395</v>
      </c>
      <c r="D28" s="1802"/>
      <c r="E28" s="9"/>
      <c r="F28" s="580" t="s">
        <v>612</v>
      </c>
      <c r="G28" s="581"/>
      <c r="H28" s="581"/>
      <c r="I28" s="9"/>
      <c r="J28" s="1680" t="s">
        <v>613</v>
      </c>
      <c r="K28" s="1681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3" t="s">
        <v>614</v>
      </c>
      <c r="G29" s="743"/>
      <c r="H29" s="1752"/>
      <c r="I29" s="9"/>
      <c r="J29" s="1682" t="s">
        <v>615</v>
      </c>
      <c r="K29" s="1683">
        <f>BD!C26</f>
        <v>7500000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4" t="s">
        <v>616</v>
      </c>
      <c r="G30" s="744"/>
      <c r="H30" s="983"/>
      <c r="I30" s="9"/>
      <c r="J30" s="1684" t="s">
        <v>617</v>
      </c>
      <c r="K30" s="1685" cm="1">
        <f t="array" ref="K30">IFERROR(limiteParcelaB[Limite_PB]*(1+K18),0)</f>
        <v>10281408.04154011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5" t="s">
        <v>618</v>
      </c>
      <c r="C31" s="1805"/>
      <c r="D31" s="774"/>
      <c r="E31" s="9"/>
      <c r="F31" s="984"/>
      <c r="G31" s="984"/>
      <c r="H31" s="985"/>
      <c r="I31" s="9"/>
      <c r="J31" s="1686" t="s">
        <v>619</v>
      </c>
      <c r="K31" s="1687">
        <f>D32+D33+D34</f>
        <v>10300000</v>
      </c>
      <c r="L31" s="1694" t="s">
        <v>620</v>
      </c>
      <c r="M31" s="1694" t="s">
        <v>2279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6" t="s">
        <v>621</v>
      </c>
      <c r="C32" s="986"/>
      <c r="D32" s="1753">
        <v>7500000</v>
      </c>
      <c r="E32" s="9"/>
      <c r="F32" s="987" t="s">
        <v>622</v>
      </c>
      <c r="G32" s="988"/>
      <c r="H32" s="988"/>
      <c r="I32" s="9"/>
      <c r="J32" s="1682" t="s">
        <v>623</v>
      </c>
      <c r="K32" s="1688" cm="1">
        <f t="array" aca="1" ref="K32" ca="1">subvencao[Subvencao Anual]*(VLOOKUP(DATE(AnoRefTar,MONTH(M32)-1,1),Índices!B6:F500,3,FALSE)/VLOOKUP(DATE(YEAR(M32),MONTH(L32)-1,1),Índices!B6:F500,3,FALSE))</f>
        <v>3622155.4467763063</v>
      </c>
      <c r="L32" s="1693" cm="1">
        <f t="array" ref="L32">subvencao[Data_Referencia Subvencao]</f>
        <v>44430</v>
      </c>
      <c r="M32" s="1693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6" t="s">
        <v>624</v>
      </c>
      <c r="C33" s="986"/>
      <c r="D33" s="487">
        <v>2800000</v>
      </c>
      <c r="E33" s="9"/>
      <c r="F33" s="571" t="s">
        <v>625</v>
      </c>
      <c r="G33" s="571"/>
      <c r="H33" s="487"/>
      <c r="I33" s="9"/>
      <c r="J33" s="1686" t="s">
        <v>626</v>
      </c>
      <c r="K33" s="1689">
        <f ca="1">LnkTXTISubvencaoPB/12</f>
        <v>301846.28723135887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9"/>
      <c r="C34" s="989"/>
      <c r="D34" s="1754"/>
      <c r="E34" s="9"/>
      <c r="F34" s="744" t="s">
        <v>627</v>
      </c>
      <c r="G34" s="744"/>
      <c r="H34" s="990"/>
      <c r="I34" s="9"/>
      <c r="J34" s="1682" t="s">
        <v>628</v>
      </c>
      <c r="K34" s="1690">
        <f>LinkTXTPR</f>
        <v>6.83005112162627E-3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1"/>
      <c r="E35" s="9"/>
      <c r="F35" s="583"/>
      <c r="G35" s="992"/>
      <c r="H35" s="463"/>
      <c r="I35" s="9"/>
      <c r="J35" s="1684" t="s">
        <v>629</v>
      </c>
      <c r="K35" s="1691">
        <f ca="1">IFERROR(Energia!M20/((Energia!M5+Energia!M6-Energia!M7+Energia!N16)+Energia!M20),0)</f>
        <v>5.0645582696550173E-2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6"/>
      <c r="D36" s="783"/>
      <c r="E36" s="9"/>
      <c r="F36" s="688" t="s">
        <v>634</v>
      </c>
      <c r="G36" s="689"/>
      <c r="H36" s="463"/>
      <c r="I36" s="9"/>
      <c r="J36" s="1686" t="s">
        <v>630</v>
      </c>
      <c r="K36" s="1692">
        <f ca="1">IFERROR(LNKTXTPercperdas,0)</f>
        <v>6.83005112162627E-3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v>573.02</v>
      </c>
      <c r="H37" s="463"/>
      <c r="I37" s="9"/>
      <c r="J37" s="270"/>
      <c r="K37" s="463"/>
      <c r="L37" s="758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6"/>
      <c r="G39" s="1796"/>
      <c r="H39" s="1550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3">
        <f>BD!C5</f>
        <v>38527.434999999998</v>
      </c>
      <c r="E41" s="9"/>
      <c r="G41" s="576" t="s">
        <v>632</v>
      </c>
      <c r="H41" s="994">
        <f ca="1">IFERROR(Calc_Mercado!J15,0)</f>
        <v>7.2069552514980595E-2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34929.775458793898</v>
      </c>
      <c r="E42" s="9"/>
      <c r="G42" s="571" t="s">
        <v>40</v>
      </c>
      <c r="H42" s="994">
        <f ca="1">LnkTxtVarTFSEE</f>
        <v>0.28523490121992623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2143989.9657600001</v>
      </c>
      <c r="E43" s="9"/>
      <c r="G43" s="571" t="s">
        <v>41</v>
      </c>
      <c r="H43" s="578">
        <f ca="1">LnkTxtVarCDE</f>
        <v>0.20545313529155118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167658.554641667</v>
      </c>
      <c r="E45" s="9"/>
      <c r="G45" s="571" t="s">
        <v>46</v>
      </c>
      <c r="H45" s="463">
        <f ca="1">Resultado!F20</f>
        <v>5.6275208250471911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356127.26559999998</v>
      </c>
      <c r="E46" s="9"/>
      <c r="G46" s="571" t="s">
        <v>47</v>
      </c>
      <c r="H46" s="578">
        <f ca="1">Resultado!F21</f>
        <v>0.51712485179111711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2034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3" t="s">
        <v>635</v>
      </c>
      <c r="C49" s="743"/>
      <c r="D49" s="995">
        <f>BD!C18</f>
        <v>0</v>
      </c>
      <c r="E49" s="9"/>
      <c r="G49" s="743" t="s">
        <v>635</v>
      </c>
      <c r="H49" s="994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4" t="s">
        <v>638</v>
      </c>
      <c r="C51" s="744"/>
      <c r="D51" s="996"/>
      <c r="E51" s="9"/>
      <c r="G51" s="744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7">
        <f>BD!C25</f>
        <v>3145735.0075300001</v>
      </c>
      <c r="E52" s="9"/>
      <c r="G52" s="576" t="s">
        <v>639</v>
      </c>
      <c r="H52" s="579">
        <f ca="1">Resultado!F32</f>
        <v>0.3005357388758263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7">
        <f>BD!C26</f>
        <v>7500000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8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9" t="s">
        <v>215</v>
      </c>
      <c r="C58" s="1000"/>
      <c r="D58" s="770"/>
      <c r="E58" s="1801">
        <v>0</v>
      </c>
      <c r="F58" s="1801"/>
      <c r="G58" s="376"/>
      <c r="L58" s="759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60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9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803" t="s">
        <v>648</v>
      </c>
      <c r="F62" s="1804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728">
        <f>IF($C$113="Não",SUMIFS(Faturas!H:H,Faturas!A:A,$K$12,Faturas!G:G,"piscofins",Faturas!F:F,YEAR(CAPA!B63)*100+MONTH(CAPA!B63)),IF(B63&lt;$C$114,0,SUMIFS(Faturas!H:H,Faturas!A:A,$K$12,Faturas!G:G,"piscofins",Faturas!F:F,YEAR(CAPA!B63)*100+MONTH(CAPA!B63))))*0</f>
        <v>0</v>
      </c>
      <c r="D63" s="728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90">
        <f>IF($C$113="Não",SUMIFS(Faturas!H:H,Faturas!A:A,$K$12,Faturas!G:G,"DICFIC",Faturas!F:F,YEAR(CAPA!B63)*100+MONTH(CAPA!B63)),IF(B63&lt;$C$114,0,SUMIFS(Faturas!H:H,Faturas!A:A,$K$12,Faturas!G:G,"DICFIC",Faturas!F:F,YEAR(CAPA!B63)*100+MONTH(CAPA!B63))))*0</f>
        <v>0</v>
      </c>
      <c r="F63" s="1791"/>
      <c r="G63" s="728">
        <f>IFERROR(VLOOKUP(B63,transmissorapiscofins[#All],2,FALSE),0)</f>
        <v>0</v>
      </c>
      <c r="H63" s="729"/>
      <c r="I63" s="9" t="s">
        <v>2388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734">
        <f>IF($C$113="Não",SUMIFS(Faturas!H:H,Faturas!A:A,$K$12,Faturas!G:G,"piscofins",Faturas!F:F,YEAR(CAPA!B64)*100+MONTH(CAPA!B64)),IF(B64&lt;$C$114,0,SUMIFS(Faturas!H:H,Faturas!A:A,$K$12,Faturas!G:G,"piscofins",Faturas!F:F,YEAR(CAPA!B64)*100+MONTH(CAPA!B64))))*0</f>
        <v>0</v>
      </c>
      <c r="D64" s="734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2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3"/>
      <c r="G64" s="734">
        <f>IFERROR(VLOOKUP(B64,transmissorapiscofins[#All],2,FALSE),0)</f>
        <v>0</v>
      </c>
      <c r="H64" s="720">
        <f>SUMIF(BD!$A$41:$A$57,B64,BD!$C$41:$C$57)</f>
        <v>0</v>
      </c>
      <c r="I64" s="9" t="s">
        <v>2389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735">
        <f>IF($C$113="Não",SUMIFS(Faturas!H:H,Faturas!A:A,$K$12,Faturas!G:G,"piscofins",Faturas!F:F,YEAR(CAPA!B65)*100+MONTH(CAPA!B65)),IF(B65&lt;$C$114,0,SUMIFS(Faturas!H:H,Faturas!A:A,$K$12,Faturas!G:G,"piscofins",Faturas!F:F,YEAR(CAPA!B65)*100+MONTH(CAPA!B65))))*0</f>
        <v>0</v>
      </c>
      <c r="D65" s="73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4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5"/>
      <c r="G65" s="735">
        <f>IFERROR(VLOOKUP(B65,transmissorapiscofins[#All],2,FALSE),0)</f>
        <v>0</v>
      </c>
      <c r="H65" s="742">
        <f>SUMIF(BD!$A$41:$A$57,B65,BD!$C$41:$C$57)</f>
        <v>0</v>
      </c>
      <c r="I65" s="9" t="s">
        <v>2390</v>
      </c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6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4469.2</v>
      </c>
      <c r="D66" s="73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8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9"/>
      <c r="G66" s="737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6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28997.03</v>
      </c>
      <c r="D67" s="73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800"/>
      <c r="G67" s="736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41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6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45332.1</v>
      </c>
      <c r="D68" s="73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800"/>
      <c r="G68" s="736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6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51482.94</v>
      </c>
      <c r="D69" s="73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800"/>
      <c r="G69" s="736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6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55798.17</v>
      </c>
      <c r="D70" s="73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800"/>
      <c r="G70" s="736">
        <f>IFERROR(VLOOKUP(B70,transmissorapiscofins[#All],2,FALSE),0)</f>
        <v>0</v>
      </c>
      <c r="H70" s="720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6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75774.849999999991</v>
      </c>
      <c r="D71" s="73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800"/>
      <c r="G71" s="736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6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16909.7</v>
      </c>
      <c r="D72" s="73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800"/>
      <c r="G72" s="736">
        <f>IFERROR(VLOOKUP(B72,transmissorapiscofins[#All],2,FALSE),0)</f>
        <v>0</v>
      </c>
      <c r="H72" s="720">
        <f>SUMIF(BD!$A$41:$A$57,B72,BD!$C$41:$C$57)</f>
        <v>0</v>
      </c>
      <c r="J72" s="474" t="s">
        <v>651</v>
      </c>
      <c r="K72" s="474" t="s">
        <v>652</v>
      </c>
      <c r="L72" s="590" t="s">
        <v>652</v>
      </c>
      <c r="M72" s="590" t="s">
        <v>653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6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13906.81</v>
      </c>
      <c r="D73" s="73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-25087.919999999998</v>
      </c>
      <c r="F73" s="1800"/>
      <c r="G73" s="736">
        <f>IFERROR(VLOOKUP(B73,transmissorapiscofins[#All],2,FALSE),0)</f>
        <v>0</v>
      </c>
      <c r="H73" s="720">
        <f>SUMIF(BD!$A$41:$A$57,B73,BD!$C$41:$C$57)</f>
        <v>0</v>
      </c>
      <c r="J73" s="1001" t="str">
        <f ca="1">IFERROR(VLOOKUP(TRUE,BD!D41:F56,3,FALSE),"todos os meses")</f>
        <v>todos os meses</v>
      </c>
      <c r="K73" s="1002" t="s">
        <v>654</v>
      </c>
      <c r="L73" s="1003">
        <f ca="1">IF(Energia!F24*2/3=0,0.0000001,Energia!F24*2/3)</f>
        <v>4644851.2190250549</v>
      </c>
      <c r="M73" s="1004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6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8733.48</v>
      </c>
      <c r="D74" s="73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-3823.44</v>
      </c>
      <c r="F74" s="1800"/>
      <c r="G74" s="736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6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12925.12</v>
      </c>
      <c r="D75" s="73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-8408.56</v>
      </c>
      <c r="F75" s="1800"/>
      <c r="G75" s="736">
        <f>IFERROR(VLOOKUP(B75,transmissorapiscofins[#All],2,FALSE),0)</f>
        <v>0</v>
      </c>
      <c r="H75" s="720">
        <f>SUMIF(BD!$A$41:$A$57,B75,BD!$C$41:$C$57)*0</f>
        <v>0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6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14605.68</v>
      </c>
      <c r="D76" s="73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800"/>
      <c r="G76" s="736">
        <f>IFERROR(VLOOKUP(B76,transmissorapiscofins[#All],2,FALSE),0)</f>
        <v>0</v>
      </c>
      <c r="H76" s="720">
        <f>SUMIF(BD!$A$41:$A$57,B76,BD!$C$41:$C$57)*0</f>
        <v>0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8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18697.759999999998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7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8"/>
      <c r="G77" s="834">
        <f>IFERROR(VLOOKUP(B77,transmissorapiscofins[#All],2,FALSE),0)</f>
        <v>0</v>
      </c>
      <c r="H77" s="826">
        <f>SUMIF(BD!$A$41:$A$57,B77,BD!$C$41:$C$57)*0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1"/>
      <c r="M79" s="740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655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60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2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5"/>
      <c r="D82" s="1006"/>
      <c r="E82" s="1006"/>
      <c r="F82" s="1006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3"/>
      <c r="C83" s="1007"/>
      <c r="D83" s="1008"/>
      <c r="E83" s="1008"/>
      <c r="F83" s="1008"/>
      <c r="G83" s="376"/>
      <c r="H83" s="555"/>
      <c r="I83" s="755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3"/>
      <c r="C85" s="1009"/>
      <c r="D85" s="1010"/>
      <c r="E85" s="1010"/>
      <c r="F85" s="1010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4"/>
      <c r="C87" s="1011"/>
      <c r="D87" s="1012"/>
      <c r="E87" s="1012"/>
      <c r="F87" s="1012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656</v>
      </c>
      <c r="C88" s="603" t="str">
        <f>VLOOKUP(LnkTXTSigla,Informacoes[],7,FALSE)</f>
        <v>21/2008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657</v>
      </c>
      <c r="C89" s="603" t="str">
        <f>VLOOKUP(LnkTXTSigla,Informacoes[],8,FALSE)</f>
        <v>28 de novembro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658</v>
      </c>
      <c r="C90" s="605" t="str">
        <f>Q3</f>
        <v>Cooperativa de Eletricidade Jacinto Machado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659</v>
      </c>
      <c r="C91" s="605" t="str">
        <f>C9</f>
        <v>Cejama</v>
      </c>
      <c r="D91" s="527"/>
      <c r="E91" s="528"/>
      <c r="F91" s="527"/>
      <c r="H91" s="755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660</v>
      </c>
      <c r="C92" s="603" t="str">
        <f>D92&amp;" - "&amp;E92</f>
        <v>Jacinto Machado - SC</v>
      </c>
      <c r="D92" s="529" t="str">
        <f>VLOOKUP(LnkTXTSigla,Informacoes[],5,FALSE)</f>
        <v>Jacinto Machado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661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662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663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664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665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666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667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668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669</v>
      </c>
      <c r="C103" s="610">
        <f>Resultado!D32</f>
        <v>4210458.682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670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671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672</v>
      </c>
      <c r="C106" s="611">
        <f>ROUND(Calc_Mercado!J18/1000,0)</f>
        <v>5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673</v>
      </c>
      <c r="C107" s="611">
        <f ca="1">ROUND(Mercado_RA0_Reais/1000000,0)</f>
        <v>22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4" t="s">
        <v>207</v>
      </c>
      <c r="C109" s="1013" t="str">
        <f>IF(E109=0,"!vazio!"," e "&amp;E109)</f>
        <v>!vazio!</v>
      </c>
      <c r="D109" s="1014"/>
      <c r="E109" s="1014">
        <f>VLOOKUP(LnkTXTSigla,Informacoes[],13,FALSE)</f>
        <v>0</v>
      </c>
      <c r="F109" s="1014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4" t="s">
        <v>674</v>
      </c>
      <c r="C110" s="1013" t="str">
        <f ca="1">IF(AnoRevRea=VLOOKUP(LnkTXTSigla,Informacoes[],15,FALSE),"REVISÃO","REAJUSTE")</f>
        <v>REAJUSTE</v>
      </c>
      <c r="D110" s="1014"/>
      <c r="E110" s="1014"/>
      <c r="F110" s="1014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4" t="s">
        <v>675</v>
      </c>
      <c r="C111" s="1013" t="str">
        <f ca="1">IF(C110="Reajuste", "Reajuste Tarifário Anual - RTA", "Revisão Tarifária Periódica - RTP")</f>
        <v>Reajuste Tarifário Anual - RTA</v>
      </c>
      <c r="D111" s="1013"/>
      <c r="E111" s="1013"/>
      <c r="F111" s="1013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4"/>
      <c r="C112" s="748"/>
      <c r="D112" s="748"/>
      <c r="E112" s="748"/>
      <c r="F112" s="748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3" t="s">
        <v>676</v>
      </c>
      <c r="C113" s="746" t="str">
        <f>VLOOKUP(C9,Informacoes[],19,FALSE)</f>
        <v>Não</v>
      </c>
      <c r="D113" s="746"/>
      <c r="E113" s="746"/>
      <c r="F113" s="746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4" t="s">
        <v>677</v>
      </c>
      <c r="C114" s="747">
        <f>VLOOKUP(C9,Informacoes[],20,FALSE)</f>
        <v>0</v>
      </c>
      <c r="D114" s="747"/>
      <c r="E114" s="747"/>
      <c r="F114" s="747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678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5" t="s">
        <v>198</v>
      </c>
      <c r="C119" s="1015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6" t="str">
        <f>LnkTXTSigla</f>
        <v>Cejama</v>
      </c>
      <c r="C120" s="1017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8" t="s">
        <v>679</v>
      </c>
      <c r="C1" s="1019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Cejama - REAJUSTE 2022</v>
      </c>
      <c r="C2" s="70"/>
      <c r="D2" s="70"/>
      <c r="E2" s="70"/>
      <c r="F2" s="70"/>
      <c r="G2" s="75"/>
      <c r="H2" s="376" t="s">
        <v>680</v>
      </c>
      <c r="I2" s="658">
        <v>44816.667268518519</v>
      </c>
      <c r="K2" s="693" t="s">
        <v>681</v>
      </c>
      <c r="L2" s="694"/>
    </row>
    <row r="3" spans="1:15" ht="16.5" customHeight="1">
      <c r="A3" s="137"/>
      <c r="B3" s="936" t="s">
        <v>682</v>
      </c>
      <c r="C3" s="785"/>
      <c r="D3" s="75"/>
      <c r="E3" s="75"/>
      <c r="F3" s="75"/>
      <c r="G3" s="75"/>
      <c r="H3" s="659" t="s">
        <v>683</v>
      </c>
      <c r="I3" s="659">
        <v>11</v>
      </c>
      <c r="K3" s="695" t="s">
        <v>684</v>
      </c>
      <c r="L3" s="656">
        <v>9.3138749879352112E-2</v>
      </c>
    </row>
    <row r="4" spans="1:15" ht="16.5">
      <c r="A4" s="137"/>
      <c r="G4" s="75"/>
      <c r="J4" s="9"/>
      <c r="K4" s="695" t="s">
        <v>685</v>
      </c>
      <c r="L4" s="656">
        <v>0.19031773612001235</v>
      </c>
    </row>
    <row r="5" spans="1:15" ht="16.5" customHeight="1">
      <c r="A5" s="137"/>
      <c r="B5" s="1020" t="s">
        <v>686</v>
      </c>
      <c r="C5" s="1021">
        <f ca="1">D39+D34</f>
        <v>26003003.293451466</v>
      </c>
      <c r="D5" s="142"/>
      <c r="E5" s="79"/>
      <c r="G5" s="75"/>
      <c r="H5" s="657"/>
      <c r="J5" s="270"/>
      <c r="K5" s="696" t="s">
        <v>687</v>
      </c>
      <c r="L5" s="664">
        <v>0.13355369294285313</v>
      </c>
    </row>
    <row r="6" spans="1:15" ht="16.5" customHeight="1">
      <c r="A6" s="137"/>
      <c r="B6" s="76" t="s">
        <v>688</v>
      </c>
      <c r="C6" s="77">
        <f ca="1">Mercado_RA0_Reais</f>
        <v>22236423.24388</v>
      </c>
      <c r="D6" s="77"/>
      <c r="E6" s="471"/>
      <c r="F6" s="75"/>
      <c r="G6" s="138"/>
      <c r="H6" s="81"/>
      <c r="J6" s="270"/>
      <c r="K6" s="697" t="s">
        <v>689</v>
      </c>
      <c r="L6" s="698">
        <v>639.03</v>
      </c>
      <c r="M6" s="79"/>
    </row>
    <row r="7" spans="1:15" ht="16.5" customHeight="1">
      <c r="A7" s="137"/>
      <c r="B7" s="1022" t="s">
        <v>2317</v>
      </c>
      <c r="C7" s="1023">
        <f ca="1">ROUND((C5/C6-1),4)</f>
        <v>0.1694</v>
      </c>
      <c r="D7" s="488"/>
      <c r="E7" s="75"/>
      <c r="F7" s="75"/>
      <c r="G7" s="75"/>
      <c r="H7" s="81"/>
      <c r="K7" s="49" t="s">
        <v>690</v>
      </c>
      <c r="L7" s="914">
        <f>L6/'Tabelas e Gráficos'!U39-1</f>
        <v>0.16496518029678753</v>
      </c>
    </row>
    <row r="8" spans="1:15" ht="16.5" customHeight="1">
      <c r="A8" s="137"/>
      <c r="B8" s="78" t="s">
        <v>691</v>
      </c>
      <c r="C8" s="252">
        <f ca="1">ROUND(Financeiros!E7,4)</f>
        <v>-0.1542</v>
      </c>
      <c r="D8" s="489"/>
      <c r="E8" s="75"/>
      <c r="F8" s="486"/>
      <c r="G8" s="75"/>
      <c r="H8" s="81"/>
      <c r="K8" s="699" t="s">
        <v>692</v>
      </c>
      <c r="L8" s="700" t="s">
        <v>2038</v>
      </c>
      <c r="M8" s="660" t="s">
        <v>694</v>
      </c>
    </row>
    <row r="9" spans="1:15" ht="16.5" customHeight="1">
      <c r="A9" s="137"/>
      <c r="B9" s="1024" t="s">
        <v>2318</v>
      </c>
      <c r="C9" s="1025">
        <f ca="1">ROUND((C7+C8),5)</f>
        <v>1.52E-2</v>
      </c>
      <c r="D9" s="488"/>
      <c r="E9" s="488"/>
      <c r="F9" s="75"/>
      <c r="G9" s="75"/>
      <c r="K9" s="695" t="s">
        <v>695</v>
      </c>
      <c r="L9" s="701">
        <f>Aj.Subsídio!G28*12</f>
        <v>0</v>
      </c>
      <c r="M9" s="701">
        <v>0</v>
      </c>
    </row>
    <row r="10" spans="1:15" ht="16.5" customHeight="1">
      <c r="A10" s="137"/>
      <c r="B10" s="1024" t="s">
        <v>696</v>
      </c>
      <c r="C10" s="1025">
        <f ca="1">ROUND((LnkTXTEfeito-LnkTXTIRTTotal),4)</f>
        <v>0.11840000000000001</v>
      </c>
      <c r="D10" s="704">
        <f ca="1">LnKTxTRA1+Financeiros!D5</f>
        <v>22573245.270965274</v>
      </c>
      <c r="E10" s="75"/>
      <c r="F10" s="75"/>
      <c r="G10" s="75"/>
      <c r="K10" s="695" t="s">
        <v>697</v>
      </c>
      <c r="L10" s="701">
        <f>Aj.Subsídio!G29*12</f>
        <v>0</v>
      </c>
      <c r="M10" s="701">
        <v>0</v>
      </c>
    </row>
    <row r="11" spans="1:15" ht="16.5" customHeight="1">
      <c r="A11" s="137"/>
      <c r="B11" s="936" t="s">
        <v>698</v>
      </c>
      <c r="C11" s="785"/>
      <c r="D11" s="1026"/>
      <c r="E11" s="1026"/>
      <c r="F11" s="1026"/>
      <c r="G11" s="75"/>
      <c r="K11" s="695" t="s">
        <v>699</v>
      </c>
      <c r="L11" s="701">
        <f>Aj.Subsídio!G30*12</f>
        <v>0</v>
      </c>
      <c r="M11" s="701">
        <v>0</v>
      </c>
    </row>
    <row r="12" spans="1:15" ht="16.5" customHeight="1">
      <c r="E12" s="1027"/>
      <c r="F12" s="1027"/>
      <c r="K12" s="695" t="s">
        <v>700</v>
      </c>
      <c r="L12" s="701">
        <f>Aj.Subsídio!G31*12</f>
        <v>7549.5599999999995</v>
      </c>
      <c r="M12" s="701">
        <v>4543.1138070210154</v>
      </c>
      <c r="O12" s="837"/>
    </row>
    <row r="13" spans="1:15" ht="15" customHeight="1">
      <c r="B13" s="1028"/>
      <c r="C13" s="1029" t="s">
        <v>693</v>
      </c>
      <c r="D13" s="1030" t="s">
        <v>694</v>
      </c>
      <c r="E13" s="1029" t="s">
        <v>701</v>
      </c>
      <c r="F13" s="1028" t="s">
        <v>702</v>
      </c>
      <c r="K13" s="695" t="s">
        <v>703</v>
      </c>
      <c r="L13" s="701">
        <f>Aj.Subsídio!G32*12</f>
        <v>409311.96</v>
      </c>
      <c r="M13" s="701">
        <v>208067.32742930399</v>
      </c>
      <c r="O13" s="837"/>
    </row>
    <row r="14" spans="1:15" ht="14.25">
      <c r="B14" s="1031" t="s">
        <v>704</v>
      </c>
      <c r="C14" s="1032">
        <f ca="1">SUM(C15:C23)</f>
        <v>2860693.5744119063</v>
      </c>
      <c r="D14" s="1033">
        <f ca="1">SUM(D15:D23)</f>
        <v>4543859.741373769</v>
      </c>
      <c r="E14" s="1034">
        <f t="shared" ref="E14:E34" ca="1" si="0">(D14-C14)/LnkTXTRA0</f>
        <v>7.569410549986319E-2</v>
      </c>
      <c r="F14" s="1035">
        <f ca="1">IF(ISERROR(D14/C14-1),"-",D14/C14-1)</f>
        <v>0.58837695236473686</v>
      </c>
      <c r="G14" s="287"/>
      <c r="H14" s="100"/>
      <c r="K14" s="695" t="s">
        <v>705</v>
      </c>
      <c r="L14" s="701">
        <f>Aj.Subsídio!G33*12</f>
        <v>20540.88</v>
      </c>
      <c r="M14" s="701">
        <v>33932.78503346358</v>
      </c>
      <c r="O14" s="837"/>
    </row>
    <row r="15" spans="1:15" ht="14.25">
      <c r="B15" s="78" t="s">
        <v>706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5"/>
      <c r="M15" s="49"/>
    </row>
    <row r="16" spans="1:15" ht="14.25">
      <c r="B16" s="78" t="s">
        <v>707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5"/>
    </row>
    <row r="17" spans="2:14" ht="14.25">
      <c r="B17" s="78" t="s">
        <v>708</v>
      </c>
      <c r="C17" s="223">
        <f ca="1">Mercado_Faturado_Encargo_TFSEE_BRUTO</f>
        <v>35809.573681888338</v>
      </c>
      <c r="D17" s="131">
        <f ca="1">Encargos!C6</f>
        <v>46023.713893769425</v>
      </c>
      <c r="E17" s="221">
        <f t="shared" ca="1" si="0"/>
        <v>4.5934276838754923E-4</v>
      </c>
      <c r="F17" s="253">
        <f t="shared" ca="1" si="1"/>
        <v>0.28523490121992623</v>
      </c>
      <c r="G17" s="287"/>
    </row>
    <row r="18" spans="2:14" ht="14.25">
      <c r="B18" s="78" t="s">
        <v>709</v>
      </c>
      <c r="C18" s="224">
        <f ca="1">Mercado_Faturado_Encargo_CDE_BRUTO+Calc_Mercado!S75</f>
        <v>2264651.448851007</v>
      </c>
      <c r="D18" s="225">
        <f ca="1">Encargos!C7</f>
        <v>2729931.1893600002</v>
      </c>
      <c r="E18" s="222">
        <f t="shared" ca="1" si="0"/>
        <v>2.0924216786395687E-2</v>
      </c>
      <c r="F18" s="253">
        <f t="shared" ca="1" si="1"/>
        <v>0.20545313529155118</v>
      </c>
      <c r="G18" s="287"/>
      <c r="H18" s="140"/>
      <c r="K18" s="49" t="s">
        <v>710</v>
      </c>
      <c r="L18" s="702">
        <v>44817.446168981478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711</v>
      </c>
      <c r="L19" s="695"/>
      <c r="M19" s="695"/>
      <c r="N19" s="290"/>
    </row>
    <row r="20" spans="2:14" ht="14.25">
      <c r="B20" s="78" t="s">
        <v>712</v>
      </c>
      <c r="C20" s="223">
        <f ca="1">Mercado_Faturado_Encargo_ESSERR_BRUTO</f>
        <v>179626.41558225855</v>
      </c>
      <c r="D20" s="225">
        <f>Encargos!C9</f>
        <v>1190477.8099999998</v>
      </c>
      <c r="E20" s="221">
        <f t="shared" ca="1" si="0"/>
        <v>4.5459262190287369E-2</v>
      </c>
      <c r="F20" s="253">
        <f t="shared" ca="1" si="1"/>
        <v>5.6275208250471911</v>
      </c>
      <c r="G20" s="287"/>
      <c r="K20" s="695" t="s">
        <v>713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380606.1362967522</v>
      </c>
      <c r="D21" s="131">
        <f ca="1">Encargos!C10</f>
        <v>577427.02811999992</v>
      </c>
      <c r="E21" s="221">
        <f t="shared" ca="1" si="0"/>
        <v>8.8512837547926049E-3</v>
      </c>
      <c r="F21" s="253">
        <f t="shared" ca="1" si="1"/>
        <v>0.51712485179111711</v>
      </c>
      <c r="G21" s="287"/>
      <c r="L21" s="196"/>
    </row>
    <row r="22" spans="2:14" ht="14.25">
      <c r="B22" s="78" t="s">
        <v>714</v>
      </c>
      <c r="C22" s="223">
        <f ca="1">Mercado_Faturado_Encargo_PeD_BRUTO*0</f>
        <v>0</v>
      </c>
      <c r="D22" s="1739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6" t="s">
        <v>715</v>
      </c>
      <c r="C24" s="1032">
        <f ca="1">SUM(C25:C32)</f>
        <v>3237480.1830816967</v>
      </c>
      <c r="D24" s="1033">
        <f>SUM(D25:D32)</f>
        <v>4210458.682</v>
      </c>
      <c r="E24" s="1034">
        <f t="shared" ca="1" si="0"/>
        <v>4.3756070310727264E-2</v>
      </c>
      <c r="F24" s="1035">
        <f t="shared" ca="1" si="1"/>
        <v>0.3005357388758263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39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716</v>
      </c>
      <c r="C27" s="197"/>
      <c r="D27" s="1740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717</v>
      </c>
      <c r="C28" s="197"/>
      <c r="D28" s="1740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718</v>
      </c>
      <c r="C29" s="223"/>
      <c r="D29" s="1740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719</v>
      </c>
      <c r="C30" s="223"/>
      <c r="D30" s="1740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39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3237480.1830816967</v>
      </c>
      <c r="D32" s="1739">
        <f>CUSD!C3</f>
        <v>4210458.682</v>
      </c>
      <c r="E32" s="221">
        <f t="shared" ca="1" si="2"/>
        <v>4.3756070310727264E-2</v>
      </c>
      <c r="F32" s="254">
        <f t="shared" ca="1" si="1"/>
        <v>0.3005357388758263</v>
      </c>
      <c r="G32" s="287"/>
    </row>
    <row r="33" spans="2:8" ht="14.25">
      <c r="B33" s="1036" t="s">
        <v>108</v>
      </c>
      <c r="C33" s="1032">
        <f ca="1">SUM(Calc_Mercado!C79:C84)</f>
        <v>8645272.6082147211</v>
      </c>
      <c r="D33" s="1033">
        <f ca="1">Energia!F24</f>
        <v>6967276.8285375824</v>
      </c>
      <c r="E33" s="1034">
        <f t="shared" ca="1" si="0"/>
        <v>-7.5461586662277785E-2</v>
      </c>
      <c r="F33" s="1035">
        <f ca="1">IF(ISERROR(D33/C33-1),"-",D33/C33-1)</f>
        <v>-0.19409402753624105</v>
      </c>
      <c r="G33" s="287"/>
    </row>
    <row r="34" spans="2:8" ht="14.25">
      <c r="B34" s="1037" t="s">
        <v>720</v>
      </c>
      <c r="C34" s="1038">
        <f ca="1">C14+C24+C33</f>
        <v>14743446.365708325</v>
      </c>
      <c r="D34" s="1039">
        <f ca="1">D33+D24+D14</f>
        <v>15721595.251911353</v>
      </c>
      <c r="E34" s="1040">
        <f t="shared" ca="1" si="0"/>
        <v>4.3988589148312711E-2</v>
      </c>
      <c r="F34" s="1041">
        <f ca="1">IF(ISERROR(D34/C34-1),"-",D34/C34-1)</f>
        <v>6.6344656597937535E-2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5"/>
      <c r="D36" s="785"/>
      <c r="E36" s="1026"/>
      <c r="F36" s="1026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693</v>
      </c>
      <c r="D38" s="661" t="s">
        <v>694</v>
      </c>
      <c r="E38" s="1042" t="s">
        <v>701</v>
      </c>
      <c r="F38" s="661" t="s">
        <v>702</v>
      </c>
      <c r="G38" s="69"/>
      <c r="H38" s="141"/>
    </row>
    <row r="39" spans="2:8" ht="15.75" customHeight="1">
      <c r="B39" s="1043" t="s">
        <v>721</v>
      </c>
      <c r="C39" s="1044">
        <f ca="1">LnkTXTRA0-C34</f>
        <v>7492976.8781716749</v>
      </c>
      <c r="D39" s="1045">
        <f>IFERROR(SMALL(IF(LnkTXTPBReq=0,CAPA!K29,LnkTXTPBReq):LNKTXTLImPB,1),0)</f>
        <v>10281408.04154011</v>
      </c>
      <c r="E39" s="1046">
        <f ca="1">(D39-C39)/LnkTXTRA0</f>
        <v>0.12539926645513366</v>
      </c>
      <c r="F39" s="1047">
        <f ca="1">IF(ISERROR(D39/C39-1),"-",D39/C39-1)</f>
        <v>0.37213929906705223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6" t="s">
        <v>722</v>
      </c>
      <c r="C41" s="785"/>
      <c r="D41" s="785"/>
      <c r="E41" s="1026"/>
      <c r="F41" s="1026"/>
    </row>
    <row r="42" spans="2:8" ht="9" customHeight="1">
      <c r="E42" s="75"/>
      <c r="F42" s="75"/>
    </row>
    <row r="43" spans="2:8" ht="15.75" customHeight="1">
      <c r="B43" s="705"/>
      <c r="C43" s="1028" t="s">
        <v>723</v>
      </c>
      <c r="D43" s="1028" t="s">
        <v>701</v>
      </c>
      <c r="E43" s="461" t="s">
        <v>724</v>
      </c>
      <c r="F43" s="461"/>
      <c r="G43" s="461"/>
    </row>
    <row r="44" spans="2:8" ht="15.75" hidden="1" customHeight="1">
      <c r="B44" s="1048" t="s">
        <v>725</v>
      </c>
      <c r="C44" s="1049">
        <f ca="1">SUM(C45:C85)</f>
        <v>-3429758.0224861898</v>
      </c>
      <c r="D44" s="1748">
        <f ca="1">C44/Financeiros!D4</f>
        <v>-0.15424054421297911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361363.94925395359</v>
      </c>
      <c r="D45" s="466">
        <f ca="1">C45/Financeiros!$D$4</f>
        <v>1.6250992585033191E-2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-157517.64035034197</v>
      </c>
      <c r="D46" s="466">
        <f ca="1">C46/Financeiros!$D$4</f>
        <v>-7.0837669630026776E-3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-37581.75597822346</v>
      </c>
      <c r="D55" s="466">
        <f ca="1">C55/Financeiros!$D$4</f>
        <v>-1.69009896807783E-3</v>
      </c>
      <c r="E55" s="461">
        <f t="shared" ca="1" si="3"/>
        <v>1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-3622155.4467763063</v>
      </c>
      <c r="D56" s="466">
        <f ca="1">C56/Financeiros!$D$4</f>
        <v>-0.16289289905350271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0</v>
      </c>
      <c r="D57" s="466">
        <f ca="1">C57/Financeiros!$D$4</f>
        <v>0</v>
      </c>
      <c r="E57" s="461">
        <f t="shared" ca="1" si="3"/>
        <v>0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-4199.08</v>
      </c>
      <c r="D68" s="466">
        <f ca="1">C68/Financeiros!$D$4</f>
        <v>-1.8883792388488954E-4</v>
      </c>
      <c r="E68" s="461">
        <f t="shared" ca="1" si="3"/>
        <v>1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Confins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-11325.545499999998</v>
      </c>
      <c r="D75" s="466">
        <f ca="1">C75/Financeiros!$D$4</f>
        <v>-5.0932406600585195E-4</v>
      </c>
      <c r="E75" s="461">
        <f t="shared" ca="1" si="3"/>
        <v>1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152472.49830000001</v>
      </c>
      <c r="D76" s="466">
        <f ca="1">C76/Financeiros!$D$4</f>
        <v>6.8568805615788105E-3</v>
      </c>
      <c r="E76" s="461">
        <f t="shared" ca="1" si="3"/>
        <v>1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-212450.83619999999</v>
      </c>
      <c r="D80" s="466">
        <f ca="1">C80/Financeiros!$D$4</f>
        <v>-9.5541820674092254E-3</v>
      </c>
      <c r="E80" s="461">
        <f t="shared" ca="1" si="3"/>
        <v>1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-530121.38492414192</v>
      </c>
      <c r="D81" s="466">
        <f ca="1">C81/Financeiros!$D$4</f>
        <v>-2.3840227320283812E-2</v>
      </c>
      <c r="E81" s="461">
        <f t="shared" ca="1" si="3"/>
        <v>1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631757.21968886943</v>
      </c>
      <c r="D82" s="466">
        <f ca="1">C82/Financeiros!$D$4</f>
        <v>2.8410919002575842E-2</v>
      </c>
      <c r="E82" s="461">
        <f t="shared" ca="1" si="3"/>
        <v>1</v>
      </c>
    </row>
    <row r="83" spans="2:5" ht="15.75" hidden="1" customHeight="1">
      <c r="B83" s="82" t="str">
        <f>'Tabelas e Gráficos'!AM205</f>
        <v xml:space="preserve">Diferimento da Previsão do Risco Hidrológico 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 xml:space="preserve">Diferimento CUSD 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45"/>
      <c r="C86" s="1746"/>
      <c r="D86" s="1747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45"/>
      <c r="C102" s="1746"/>
      <c r="D102" s="1747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C39" sqref="C39"/>
    </sheetView>
  </sheetViews>
  <sheetFormatPr defaultColWidth="9.140625" defaultRowHeight="12.75" customHeight="1"/>
  <cols>
    <col min="1" max="1" width="4.7109375" style="94" customWidth="1"/>
    <col min="2" max="2" width="18.140625" style="94" bestFit="1" customWidth="1"/>
    <col min="3" max="3" width="16.28515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870</v>
      </c>
      <c r="C1" s="1019"/>
      <c r="D1" s="933"/>
      <c r="E1" s="933"/>
      <c r="F1" s="933"/>
      <c r="G1" s="1129" t="s">
        <v>871</v>
      </c>
      <c r="H1" s="1130">
        <f ca="1">LnkTXTIRTEco</f>
        <v>0.1694</v>
      </c>
      <c r="I1" s="70"/>
      <c r="J1" s="70"/>
      <c r="P1" s="1131" t="s">
        <v>872</v>
      </c>
      <c r="Q1" s="1132"/>
      <c r="S1" s="1133" t="s">
        <v>873</v>
      </c>
      <c r="T1" s="1132" t="s">
        <v>874</v>
      </c>
      <c r="W1" s="1131" t="s">
        <v>873</v>
      </c>
      <c r="X1" s="1132" t="s">
        <v>874</v>
      </c>
    </row>
    <row r="2" spans="2:24" ht="14.25">
      <c r="B2" s="136" t="str">
        <f>CAPA!C9</f>
        <v>Cejama</v>
      </c>
      <c r="C2" s="70"/>
      <c r="D2" s="70"/>
      <c r="G2" s="120" t="s">
        <v>875</v>
      </c>
      <c r="H2" s="121">
        <f ca="1">LnkTXTIRTTotal</f>
        <v>1.52E-2</v>
      </c>
      <c r="P2" s="1134">
        <f>DATE(YEAR(P4),MONTH(P4)-1,1)</f>
        <v>44440</v>
      </c>
      <c r="Q2" s="663"/>
      <c r="S2" s="662" t="s">
        <v>876</v>
      </c>
      <c r="T2" s="663" t="s">
        <v>877</v>
      </c>
      <c r="W2" s="662" t="s">
        <v>878</v>
      </c>
      <c r="X2" s="663" t="s">
        <v>877</v>
      </c>
    </row>
    <row r="3" spans="2:24" ht="14.25">
      <c r="P3" s="1131" t="s">
        <v>872</v>
      </c>
      <c r="Q3" s="1132"/>
      <c r="S3" s="1133" t="s">
        <v>873</v>
      </c>
      <c r="T3" s="1132" t="s">
        <v>874</v>
      </c>
      <c r="W3" s="1131" t="s">
        <v>873</v>
      </c>
      <c r="X3" s="1132" t="s">
        <v>874</v>
      </c>
    </row>
    <row r="4" spans="2:24" ht="14.25">
      <c r="P4" s="1134">
        <f>DATE(YEAR(P6),MONTH(P6)-1,1)</f>
        <v>44470</v>
      </c>
      <c r="Q4" s="663"/>
      <c r="S4" s="662" t="s">
        <v>538</v>
      </c>
      <c r="T4" s="663" t="s">
        <v>877</v>
      </c>
      <c r="W4" s="662" t="s">
        <v>878</v>
      </c>
      <c r="X4" s="663" t="s">
        <v>877</v>
      </c>
    </row>
    <row r="5" spans="2:24" ht="14.25">
      <c r="P5" s="1131" t="s">
        <v>872</v>
      </c>
      <c r="Q5" s="1132"/>
      <c r="S5" s="1131" t="s">
        <v>873</v>
      </c>
      <c r="T5" s="1132" t="s">
        <v>874</v>
      </c>
      <c r="V5" s="95"/>
      <c r="W5" s="1131" t="s">
        <v>873</v>
      </c>
      <c r="X5" s="1132" t="s">
        <v>874</v>
      </c>
    </row>
    <row r="6" spans="2:24" ht="14.25">
      <c r="B6" s="111" t="s">
        <v>879</v>
      </c>
      <c r="F6" s="111" t="s">
        <v>880</v>
      </c>
      <c r="I6" s="111" t="s">
        <v>881</v>
      </c>
      <c r="P6" s="1134">
        <f>DATE(YEAR(P8),MONTH(P8)-1,1)</f>
        <v>44501</v>
      </c>
      <c r="Q6" s="663"/>
      <c r="S6" s="662" t="str">
        <f>"=A3"</f>
        <v>=A3</v>
      </c>
      <c r="T6" s="663" t="s">
        <v>877</v>
      </c>
      <c r="W6" s="662" t="s">
        <v>878</v>
      </c>
      <c r="X6" s="663" t="s">
        <v>877</v>
      </c>
    </row>
    <row r="7" spans="2:24" ht="14.25">
      <c r="B7" s="1135" t="s">
        <v>776</v>
      </c>
      <c r="C7" s="1135" t="s">
        <v>108</v>
      </c>
      <c r="D7" s="1135" t="s">
        <v>882</v>
      </c>
      <c r="E7" s="96"/>
      <c r="F7" s="1135" t="s">
        <v>776</v>
      </c>
      <c r="G7" s="1135" t="s">
        <v>882</v>
      </c>
      <c r="I7" s="1136" t="s">
        <v>776</v>
      </c>
      <c r="J7" s="1136" t="s">
        <v>883</v>
      </c>
      <c r="L7" s="416" t="s">
        <v>884</v>
      </c>
      <c r="M7" s="416"/>
      <c r="N7" s="416" t="s">
        <v>723</v>
      </c>
      <c r="P7" s="1131" t="s">
        <v>872</v>
      </c>
      <c r="Q7" s="1132"/>
      <c r="S7" s="1131" t="s">
        <v>873</v>
      </c>
      <c r="T7" s="1132" t="s">
        <v>874</v>
      </c>
      <c r="W7" s="1131" t="s">
        <v>873</v>
      </c>
      <c r="X7" s="1132" t="s">
        <v>874</v>
      </c>
    </row>
    <row r="8" spans="2:24" ht="14.25">
      <c r="B8" s="1137" t="s">
        <v>885</v>
      </c>
      <c r="C8" s="1138">
        <f ca="1">SUM(C9:C15)</f>
        <v>41304.089999999997</v>
      </c>
      <c r="D8" s="1139">
        <f ca="1">SUM(D9:D15)</f>
        <v>22236423.24388</v>
      </c>
      <c r="E8" s="96"/>
      <c r="F8" s="96" t="s">
        <v>886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0.24324314350786316</v>
      </c>
      <c r="L8" s="1140" t="s">
        <v>887</v>
      </c>
      <c r="M8" s="1141"/>
      <c r="N8" s="1142">
        <f>DSUM('BD MERCADO'!A2:AAA999998,"Total",S27:S28)</f>
        <v>3978501.0805300013</v>
      </c>
      <c r="P8" s="1134">
        <f>DATE(YEAR(P10),MONTH(P10)-1,1)</f>
        <v>44531</v>
      </c>
      <c r="Q8" s="663"/>
      <c r="S8" s="662" t="str">
        <f>"=A3a"</f>
        <v>=A3a</v>
      </c>
      <c r="T8" s="663" t="s">
        <v>877</v>
      </c>
      <c r="W8" s="662" t="s">
        <v>878</v>
      </c>
      <c r="X8" s="663" t="s">
        <v>877</v>
      </c>
    </row>
    <row r="9" spans="2:24" ht="14.25">
      <c r="B9" s="112" t="s">
        <v>876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3" t="s">
        <v>753</v>
      </c>
      <c r="J9" s="1144">
        <f ca="1">SUM(INDIRECT("dados_MercadoBase[[PisPasep]:[Cofins]]"))/SUM(INDIRECT("dados_MercadoBase[[PisPasep]:[ICMS]]"),INDIRECT("dados_MercadoBase[FinTotAj]"))</f>
        <v>0</v>
      </c>
      <c r="L9" s="96" t="s">
        <v>888</v>
      </c>
      <c r="M9" s="415"/>
      <c r="N9" s="115">
        <f>DSUM('BD MERCADO'!A2:AAA999998,"Total",S29:S30)</f>
        <v>12353340.468079999</v>
      </c>
      <c r="P9" s="1131" t="s">
        <v>872</v>
      </c>
      <c r="Q9" s="1132"/>
      <c r="S9" s="1131" t="s">
        <v>873</v>
      </c>
      <c r="T9" s="1132" t="s">
        <v>874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889</v>
      </c>
      <c r="G10" s="115">
        <f t="shared" ca="1" si="0"/>
        <v>179626.4155822586</v>
      </c>
      <c r="L10" s="96" t="s">
        <v>890</v>
      </c>
      <c r="M10" s="415"/>
      <c r="N10" s="115">
        <f>DSUM('BD MERCADO'!A2:AAA999998,"Total",S31:S32)</f>
        <v>1618730.0976800004</v>
      </c>
      <c r="P10" s="1134">
        <f>DATE(YEAR(P12),MONTH(P12)-1,1)</f>
        <v>44562</v>
      </c>
      <c r="Q10" s="663"/>
      <c r="S10" s="662" t="s">
        <v>533</v>
      </c>
      <c r="T10" s="663" t="s">
        <v>877</v>
      </c>
      <c r="U10" s="94" t="s">
        <v>891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380606.13629675214</v>
      </c>
      <c r="L11" s="96" t="s">
        <v>892</v>
      </c>
      <c r="M11" s="415"/>
      <c r="N11" s="115">
        <f>DSUM('BD MERCADO'!A2:AAA999998,"Total",S33:S34)</f>
        <v>3478740.3813499985</v>
      </c>
      <c r="P11" s="1131" t="s">
        <v>872</v>
      </c>
      <c r="Q11" s="1132"/>
      <c r="S11" s="1131" t="s">
        <v>873</v>
      </c>
      <c r="T11" s="1132" t="s">
        <v>874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2264651.4488510052</v>
      </c>
      <c r="I12" s="111" t="s">
        <v>893</v>
      </c>
      <c r="L12" s="96" t="s">
        <v>894</v>
      </c>
      <c r="M12" s="415"/>
      <c r="N12" s="115">
        <f>DSUM('BD MERCADO'!A2:AAA999998,"Total",S35:S36)</f>
        <v>420037.01963999995</v>
      </c>
      <c r="P12" s="1134">
        <f>DATE(YEAR(P14),MONTH(P14)-1,1)</f>
        <v>44593</v>
      </c>
      <c r="Q12" s="663"/>
      <c r="S12" s="662" t="s">
        <v>895</v>
      </c>
      <c r="T12" s="663" t="s">
        <v>877</v>
      </c>
      <c r="X12" s="97"/>
    </row>
    <row r="13" spans="2:24" ht="14.25">
      <c r="B13" s="112" t="s">
        <v>533</v>
      </c>
      <c r="C13" s="98">
        <f t="shared" ca="1" si="2"/>
        <v>24984.675999999999</v>
      </c>
      <c r="D13" s="113">
        <f t="shared" ca="1" si="1"/>
        <v>12311119.057120001</v>
      </c>
      <c r="E13" s="96"/>
      <c r="F13" s="96" t="s">
        <v>40</v>
      </c>
      <c r="G13" s="115">
        <f t="shared" ca="1" si="0"/>
        <v>35809.573681888331</v>
      </c>
      <c r="I13" s="1136" t="s">
        <v>776</v>
      </c>
      <c r="J13" s="1136" t="s">
        <v>896</v>
      </c>
      <c r="L13" s="96" t="s">
        <v>897</v>
      </c>
      <c r="M13" s="415"/>
      <c r="N13" s="115">
        <f>DSUM('BD MERCADO'!A2:AAA999998,"Total",S37:S38)</f>
        <v>220688.54015000002</v>
      </c>
      <c r="P13" s="1131" t="s">
        <v>872</v>
      </c>
      <c r="Q13" s="1132"/>
      <c r="S13" s="1131" t="s">
        <v>873</v>
      </c>
      <c r="T13" s="1132" t="s">
        <v>874</v>
      </c>
      <c r="X13" s="97"/>
    </row>
    <row r="14" spans="2:24" ht="14.25">
      <c r="B14" s="112" t="s">
        <v>898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5" t="s">
        <v>899</v>
      </c>
      <c r="J14" s="1146">
        <f>CAPA!D41</f>
        <v>38527.434999999998</v>
      </c>
      <c r="L14" s="96" t="s">
        <v>900</v>
      </c>
      <c r="M14" s="415"/>
      <c r="N14" s="115">
        <f>DSUM('BD MERCADO'!A2:AAA999998,"Total",S39:S40)</f>
        <v>149569.927</v>
      </c>
      <c r="P14" s="1134">
        <f>DATE(YEAR(P16),MONTH(P16)-1,1)</f>
        <v>44621</v>
      </c>
      <c r="Q14" s="663"/>
      <c r="S14" s="662" t="s">
        <v>878</v>
      </c>
      <c r="T14" s="663" t="s">
        <v>877</v>
      </c>
      <c r="X14" s="97"/>
    </row>
    <row r="15" spans="2:24" ht="14.25">
      <c r="B15" s="112" t="s">
        <v>540</v>
      </c>
      <c r="C15" s="98">
        <f t="shared" ca="1" si="2"/>
        <v>16319.413999999999</v>
      </c>
      <c r="D15" s="113">
        <f t="shared" ca="1" si="1"/>
        <v>9925304.186759999</v>
      </c>
      <c r="E15" s="96"/>
      <c r="F15" s="96" t="s">
        <v>108</v>
      </c>
      <c r="G15" s="115">
        <f ca="1">SUM(C79:C84)</f>
        <v>8645272.6082147211</v>
      </c>
      <c r="I15" s="1147" t="s">
        <v>829</v>
      </c>
      <c r="J15" s="1148">
        <f ca="1">IFERROR(Mercado_RA0_MWh/J14-1,0)</f>
        <v>7.2069552514980595E-2</v>
      </c>
      <c r="L15" s="1149" t="s">
        <v>901</v>
      </c>
      <c r="M15" s="1150"/>
      <c r="N15" s="1151">
        <f ca="1">D25-SUM(N8:N14)</f>
        <v>16815.729449998587</v>
      </c>
      <c r="P15" s="1131" t="s">
        <v>872</v>
      </c>
      <c r="Q15" s="1132"/>
      <c r="S15" s="1131" t="s">
        <v>902</v>
      </c>
      <c r="T15" s="1132" t="s">
        <v>874</v>
      </c>
      <c r="X15" s="97"/>
    </row>
    <row r="16" spans="2:24" ht="14.25">
      <c r="B16" s="1137" t="s">
        <v>903</v>
      </c>
      <c r="C16" s="1152">
        <f ca="1">DSUM(MercadoBase,"TUSD_E",INDIRECT("Mercado_CriterioResBr"))</f>
        <v>438.76599999999985</v>
      </c>
      <c r="D16" s="1153">
        <f ca="1">DSUM(MercadoBase,"Total",INDIRECT("Mercado_CriterioResBr"))</f>
        <v>245985.38257999998</v>
      </c>
      <c r="E16" s="96"/>
      <c r="F16" s="96" t="s">
        <v>904</v>
      </c>
      <c r="G16" s="115">
        <f ca="1">SUM(C87:C97)</f>
        <v>10730688.103394607</v>
      </c>
      <c r="P16" s="1134">
        <f>DATE(YEAR(P18),MONTH(P18)-1,1)</f>
        <v>44652</v>
      </c>
      <c r="Q16" s="663"/>
      <c r="S16" s="662" t="s">
        <v>905</v>
      </c>
      <c r="T16" s="663" t="s">
        <v>877</v>
      </c>
      <c r="X16" s="97"/>
    </row>
    <row r="17" spans="2:24" ht="14.25">
      <c r="B17" s="1137" t="s">
        <v>906</v>
      </c>
      <c r="C17" s="1152">
        <f ca="1">DSUM(MercadoBase,"TUSD_E",INDIRECT("Mercado_Criterio"&amp;$B17))</f>
        <v>0</v>
      </c>
      <c r="D17" s="1153">
        <f ca="1">DSUM(MercadoBase,"Total",INDIRECT("Mercado_Criterio"&amp;$B17))</f>
        <v>0</v>
      </c>
      <c r="E17" s="96"/>
      <c r="F17" s="1154" t="s">
        <v>758</v>
      </c>
      <c r="G17" s="1155">
        <f ca="1">SUM(G8:G16)</f>
        <v>22236654.286021233</v>
      </c>
      <c r="I17" s="226" t="str">
        <f>"Dado referente à "&amp;TEXT(P20,"mmmm/aaaa")</f>
        <v>Dado referente à junho/2022</v>
      </c>
      <c r="L17" s="79"/>
      <c r="P17" s="1131" t="s">
        <v>872</v>
      </c>
      <c r="Q17" s="1132"/>
      <c r="S17" s="1131" t="s">
        <v>874</v>
      </c>
      <c r="T17" s="1132"/>
      <c r="X17" s="97"/>
    </row>
    <row r="18" spans="2:24" ht="14.25">
      <c r="B18" s="1137" t="s">
        <v>907</v>
      </c>
      <c r="C18" s="1152">
        <f ca="1">DSUM(MercadoBase,"TUSD_E",INDIRECT("Mercado_Criterio"&amp;$B18))</f>
        <v>0</v>
      </c>
      <c r="D18" s="1153">
        <f ca="1">DSUM(MercadoBase,"Total",INDIRECT("Mercado_Criterio"&amp;$B18))</f>
        <v>0</v>
      </c>
      <c r="E18" s="96"/>
      <c r="I18" s="1156" t="s">
        <v>908</v>
      </c>
      <c r="J18" s="1157">
        <f>DSUM('BD MERCADO'!B2:BU724,"UC",C101:C102)</f>
        <v>5353</v>
      </c>
      <c r="L18" s="79"/>
      <c r="P18" s="1134">
        <f>DATE(YEAR(P20),MONTH(P20)-1,1)</f>
        <v>44682</v>
      </c>
      <c r="Q18" s="663"/>
      <c r="S18" s="662" t="s">
        <v>788</v>
      </c>
      <c r="T18" s="663"/>
      <c r="X18" s="97"/>
    </row>
    <row r="19" spans="2:24" ht="14.25">
      <c r="B19" s="114" t="s">
        <v>909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1" t="s">
        <v>872</v>
      </c>
      <c r="Q19" s="1132"/>
      <c r="S19" s="1131" t="s">
        <v>874</v>
      </c>
      <c r="T19" s="1132" t="s">
        <v>873</v>
      </c>
      <c r="X19" s="97"/>
    </row>
    <row r="20" spans="2:24" ht="14.25">
      <c r="B20" s="114" t="s">
        <v>910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4">
        <f>DATE(YEAR(P22),MONTH(P22)-1,1)</f>
        <v>44713</v>
      </c>
      <c r="Q20" s="663"/>
      <c r="S20" s="662" t="s">
        <v>907</v>
      </c>
      <c r="T20" s="663" t="s">
        <v>876</v>
      </c>
    </row>
    <row r="21" spans="2:24" ht="14.25">
      <c r="B21" s="114" t="s">
        <v>911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1" t="s">
        <v>872</v>
      </c>
      <c r="Q21" s="1132"/>
      <c r="S21" s="1131" t="s">
        <v>874</v>
      </c>
      <c r="T21" s="1132"/>
    </row>
    <row r="22" spans="2:24" ht="14.25">
      <c r="B22" s="114" t="s">
        <v>912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4">
        <f>DATE(YEAR(P24),MONTH(P24)-1,1)</f>
        <v>44743</v>
      </c>
      <c r="Q22" s="663"/>
      <c r="S22" s="662" t="s">
        <v>750</v>
      </c>
      <c r="T22" s="663"/>
      <c r="X22" s="97"/>
    </row>
    <row r="23" spans="2:24" ht="14.25">
      <c r="B23" s="1137" t="s">
        <v>913</v>
      </c>
      <c r="C23" s="1152">
        <v>0</v>
      </c>
      <c r="D23" s="1153">
        <v>0</v>
      </c>
      <c r="E23" s="615"/>
      <c r="F23" s="617"/>
      <c r="G23" s="618"/>
      <c r="L23" s="79"/>
      <c r="M23" s="100"/>
      <c r="N23" s="97"/>
      <c r="O23" s="97"/>
      <c r="P23" s="1131" t="s">
        <v>872</v>
      </c>
      <c r="Q23" s="1132"/>
      <c r="S23" s="1131" t="s">
        <v>874</v>
      </c>
      <c r="T23" s="1132"/>
      <c r="X23" s="97"/>
    </row>
    <row r="24" spans="2:24" ht="14.25">
      <c r="B24" s="1137" t="s">
        <v>914</v>
      </c>
      <c r="C24" s="1158"/>
      <c r="D24" s="1159"/>
      <c r="E24" s="615"/>
      <c r="F24" s="617"/>
      <c r="G24" s="618"/>
      <c r="L24" s="79"/>
      <c r="P24" s="1134">
        <f>SAS_RA0_DataFim</f>
        <v>44774</v>
      </c>
      <c r="Q24" s="663"/>
      <c r="S24" s="662" t="s">
        <v>911</v>
      </c>
      <c r="T24" s="663"/>
      <c r="X24" s="97"/>
    </row>
    <row r="25" spans="2:24" ht="14.25">
      <c r="B25" s="1160" t="s">
        <v>758</v>
      </c>
      <c r="C25" s="1161">
        <f ca="1">C18+C8+C24+C20+C21+SuprimentoE</f>
        <v>41304.089999999997</v>
      </c>
      <c r="D25" s="1162">
        <f ca="1">D18+D8+D24+D20+D21+D17</f>
        <v>22236423.24388</v>
      </c>
      <c r="E25" s="615"/>
      <c r="N25" s="69">
        <f>SUMIFS('BD MERCADO'!$P$3:$P$6000,'BD MERCADO'!$D$3:$D$6000,"A4",'BD MERCADO'!$I$3:$I$6000,U10)</f>
        <v>1557.2019999999998</v>
      </c>
      <c r="S25" s="101" t="s">
        <v>874</v>
      </c>
      <c r="T25" s="102"/>
      <c r="X25" s="97"/>
    </row>
    <row r="26" spans="2:24" ht="14.25">
      <c r="F26" s="617"/>
      <c r="G26" s="618"/>
      <c r="S26" s="662" t="s">
        <v>915</v>
      </c>
      <c r="T26" s="663"/>
      <c r="X26" s="97"/>
    </row>
    <row r="27" spans="2:24" ht="14.25">
      <c r="F27" s="617"/>
      <c r="G27" s="618"/>
      <c r="I27" s="97"/>
      <c r="S27" s="1163" t="s">
        <v>524</v>
      </c>
      <c r="T27" s="1164"/>
      <c r="X27" s="97"/>
    </row>
    <row r="28" spans="2:24" ht="14.25">
      <c r="F28" s="226"/>
      <c r="G28" s="619"/>
      <c r="I28" s="97"/>
      <c r="S28" s="1165" t="s">
        <v>887</v>
      </c>
      <c r="T28" s="1166"/>
      <c r="X28" s="97"/>
    </row>
    <row r="29" spans="2:24" ht="14.25">
      <c r="I29" s="97"/>
      <c r="S29" s="1163" t="s">
        <v>524</v>
      </c>
      <c r="T29" s="1164"/>
    </row>
    <row r="30" spans="2:24" ht="14.25">
      <c r="I30" s="97"/>
      <c r="S30" s="1165" t="s">
        <v>888</v>
      </c>
      <c r="T30" s="1166"/>
    </row>
    <row r="31" spans="2:24" ht="16.5">
      <c r="B31"/>
      <c r="C31"/>
      <c r="H31" s="97"/>
      <c r="I31" s="97"/>
      <c r="S31" s="1163" t="s">
        <v>524</v>
      </c>
      <c r="T31" s="1164"/>
      <c r="X31" s="97"/>
    </row>
    <row r="32" spans="2:24" ht="14.25">
      <c r="H32" s="97"/>
      <c r="I32" s="97"/>
      <c r="S32" s="1165" t="s">
        <v>916</v>
      </c>
      <c r="T32" s="1166"/>
      <c r="X32" s="97"/>
    </row>
    <row r="33" spans="2:24" ht="16.5">
      <c r="B33" s="1772" t="s">
        <v>917</v>
      </c>
      <c r="C33" s="1773" t="s">
        <v>918</v>
      </c>
      <c r="D33"/>
      <c r="S33" s="1163" t="s">
        <v>524</v>
      </c>
      <c r="T33" s="1164"/>
      <c r="X33" s="97"/>
    </row>
    <row r="34" spans="2:24" ht="16.5">
      <c r="B34" s="1774">
        <v>44440</v>
      </c>
      <c r="C34" s="1775">
        <v>2830.1509999999998</v>
      </c>
      <c r="D34"/>
      <c r="S34" s="1165" t="s">
        <v>892</v>
      </c>
      <c r="T34" s="1166"/>
      <c r="X34" s="97"/>
    </row>
    <row r="35" spans="2:24" ht="16.5">
      <c r="B35" s="1774">
        <v>44470</v>
      </c>
      <c r="C35" s="1775">
        <v>2878.9450000000002</v>
      </c>
      <c r="D35"/>
      <c r="S35" s="1163" t="s">
        <v>524</v>
      </c>
      <c r="T35" s="1164"/>
    </row>
    <row r="36" spans="2:24" ht="16.5">
      <c r="B36" s="1774">
        <v>44501</v>
      </c>
      <c r="C36" s="1775">
        <v>3063.1140000000005</v>
      </c>
      <c r="D36"/>
      <c r="M36" s="97"/>
      <c r="S36" s="1165" t="s">
        <v>894</v>
      </c>
      <c r="T36" s="1166"/>
    </row>
    <row r="37" spans="2:24" ht="16.5">
      <c r="B37" s="1774">
        <v>44531</v>
      </c>
      <c r="C37" s="1775">
        <v>3209.3090000000002</v>
      </c>
      <c r="D37"/>
      <c r="M37" s="97"/>
      <c r="S37" s="1163" t="s">
        <v>524</v>
      </c>
      <c r="T37" s="1164"/>
    </row>
    <row r="38" spans="2:24" ht="16.5">
      <c r="B38" s="1774">
        <v>44562</v>
      </c>
      <c r="C38" s="1775">
        <v>3371.9360000000006</v>
      </c>
      <c r="D38"/>
      <c r="M38" s="97"/>
      <c r="S38" s="1165" t="s">
        <v>897</v>
      </c>
      <c r="T38" s="1166"/>
    </row>
    <row r="39" spans="2:24" ht="16.5">
      <c r="B39" s="1774">
        <v>44593</v>
      </c>
      <c r="C39" s="1775">
        <v>3879.4690000000001</v>
      </c>
      <c r="D39"/>
      <c r="S39" s="1163" t="s">
        <v>524</v>
      </c>
      <c r="T39" s="1164"/>
    </row>
    <row r="40" spans="2:24" ht="16.5">
      <c r="B40" s="1774">
        <v>44621</v>
      </c>
      <c r="C40" s="1775">
        <v>4347.9030000000021</v>
      </c>
      <c r="D40"/>
      <c r="S40" s="1165" t="s">
        <v>919</v>
      </c>
      <c r="T40" s="1166"/>
    </row>
    <row r="41" spans="2:24" ht="16.5">
      <c r="B41" s="1774">
        <v>44652</v>
      </c>
      <c r="C41" s="1775">
        <v>3887.279</v>
      </c>
      <c r="D41"/>
      <c r="N41" s="97"/>
      <c r="O41" s="97"/>
      <c r="P41" s="97"/>
      <c r="Q41" s="97"/>
      <c r="R41" s="97"/>
      <c r="S41" s="1163" t="s">
        <v>524</v>
      </c>
      <c r="T41" s="1164"/>
    </row>
    <row r="42" spans="2:24" ht="16.5">
      <c r="B42" s="1774">
        <v>44682</v>
      </c>
      <c r="C42" s="1775">
        <v>3642.5780000000004</v>
      </c>
      <c r="D42"/>
      <c r="N42" s="97"/>
      <c r="O42" s="97"/>
      <c r="P42" s="97"/>
      <c r="Q42" s="97"/>
      <c r="R42" s="97"/>
      <c r="S42" s="1165" t="s">
        <v>920</v>
      </c>
      <c r="T42" s="1166"/>
    </row>
    <row r="43" spans="2:24" ht="16.5">
      <c r="B43" s="1774">
        <v>44713</v>
      </c>
      <c r="C43" s="1775">
        <v>3445.6640000000002</v>
      </c>
      <c r="D43"/>
      <c r="N43" s="97"/>
      <c r="O43" s="97"/>
      <c r="P43" s="97"/>
      <c r="Q43" s="97"/>
      <c r="R43" s="97"/>
      <c r="S43" s="1131" t="s">
        <v>873</v>
      </c>
      <c r="T43" s="1132" t="s">
        <v>874</v>
      </c>
    </row>
    <row r="44" spans="2:24" ht="16.5">
      <c r="B44" s="1774">
        <v>44743</v>
      </c>
      <c r="C44" s="1775">
        <v>3373.8710000000005</v>
      </c>
      <c r="D44"/>
      <c r="S44" s="662" t="s">
        <v>538</v>
      </c>
      <c r="T44" s="663" t="s">
        <v>907</v>
      </c>
    </row>
    <row r="45" spans="2:24" ht="16.5">
      <c r="B45" s="1774">
        <v>44774</v>
      </c>
      <c r="C45" s="1775">
        <v>3373.8710000000005</v>
      </c>
      <c r="D45"/>
      <c r="S45" s="1131" t="s">
        <v>873</v>
      </c>
      <c r="T45" s="1132" t="s">
        <v>874</v>
      </c>
    </row>
    <row r="46" spans="2:24" ht="16.5">
      <c r="B46" s="1774" t="s">
        <v>921</v>
      </c>
      <c r="C46" s="1775">
        <v>41304.090000000004</v>
      </c>
      <c r="D46"/>
      <c r="S46" s="662" t="s">
        <v>535</v>
      </c>
      <c r="T46" s="663" t="s">
        <v>907</v>
      </c>
    </row>
    <row r="47" spans="2:24" ht="16.5">
      <c r="B47"/>
      <c r="C47"/>
      <c r="D47"/>
      <c r="S47" s="1131" t="s">
        <v>873</v>
      </c>
      <c r="T47" s="1132" t="s">
        <v>874</v>
      </c>
    </row>
    <row r="48" spans="2:24" ht="16.5">
      <c r="B48"/>
      <c r="C48"/>
      <c r="D48"/>
      <c r="S48" s="662" t="s">
        <v>537</v>
      </c>
      <c r="T48" s="663" t="s">
        <v>907</v>
      </c>
    </row>
    <row r="49" spans="2:21" ht="16.5">
      <c r="B49"/>
      <c r="C49"/>
      <c r="D49"/>
      <c r="S49" s="1131" t="s">
        <v>873</v>
      </c>
      <c r="T49" s="1132" t="s">
        <v>874</v>
      </c>
    </row>
    <row r="50" spans="2:21" ht="16.5">
      <c r="B50"/>
      <c r="C50"/>
      <c r="D50"/>
      <c r="S50" s="662" t="s">
        <v>533</v>
      </c>
      <c r="T50" s="663" t="s">
        <v>907</v>
      </c>
    </row>
    <row r="51" spans="2:21" ht="16.5">
      <c r="B51"/>
      <c r="C51"/>
      <c r="S51" s="1131" t="s">
        <v>873</v>
      </c>
      <c r="T51" s="1132" t="s">
        <v>874</v>
      </c>
    </row>
    <row r="52" spans="2:21" ht="16.5">
      <c r="B52"/>
      <c r="C52"/>
      <c r="S52" s="662" t="s">
        <v>878</v>
      </c>
      <c r="T52" s="663" t="s">
        <v>907</v>
      </c>
    </row>
    <row r="53" spans="2:21" ht="16.5">
      <c r="B53"/>
      <c r="C53"/>
      <c r="S53" s="1131" t="s">
        <v>873</v>
      </c>
      <c r="T53" s="1132" t="s">
        <v>874</v>
      </c>
    </row>
    <row r="54" spans="2:21" ht="14.25">
      <c r="S54" s="662" t="s">
        <v>895</v>
      </c>
      <c r="T54" s="663" t="s">
        <v>907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922</v>
      </c>
      <c r="K61" s="68"/>
    </row>
    <row r="62" spans="2:21" ht="14.25">
      <c r="B62" s="1167" t="s">
        <v>923</v>
      </c>
      <c r="C62" s="1167"/>
      <c r="D62" s="1167" t="s">
        <v>886</v>
      </c>
      <c r="E62" s="1167" t="s">
        <v>49</v>
      </c>
      <c r="F62" s="1167" t="s">
        <v>889</v>
      </c>
      <c r="G62" s="1167" t="s">
        <v>47</v>
      </c>
      <c r="H62" s="1167" t="s">
        <v>41</v>
      </c>
      <c r="I62" s="1167" t="s">
        <v>40</v>
      </c>
      <c r="J62" s="1167" t="s">
        <v>112</v>
      </c>
      <c r="K62" s="1167" t="s">
        <v>924</v>
      </c>
      <c r="L62" s="1167" t="s">
        <v>925</v>
      </c>
      <c r="M62" s="1167" t="s">
        <v>926</v>
      </c>
      <c r="N62" s="1167" t="s">
        <v>927</v>
      </c>
      <c r="O62" s="1167" t="s">
        <v>928</v>
      </c>
      <c r="P62" s="1167" t="s">
        <v>929</v>
      </c>
      <c r="Q62" s="1167" t="s">
        <v>930</v>
      </c>
      <c r="R62" s="1167" t="s">
        <v>931</v>
      </c>
      <c r="S62" s="1167" t="s">
        <v>2027</v>
      </c>
      <c r="T62" s="1167" t="s">
        <v>1051</v>
      </c>
      <c r="U62" s="1167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12280.46107853691</v>
      </c>
      <c r="G63" s="103">
        <f t="shared" ca="1" si="4"/>
        <v>26064.924703478719</v>
      </c>
      <c r="H63" s="103">
        <f t="shared" ca="1" si="4"/>
        <v>155721.62538320626</v>
      </c>
      <c r="I63" s="103">
        <f t="shared" ca="1" si="4"/>
        <v>2485.5831185849788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652.29085560000112</v>
      </c>
      <c r="O63" s="103">
        <f t="shared" ca="1" si="4"/>
        <v>24915.568619999995</v>
      </c>
      <c r="P63" s="103">
        <f t="shared" ca="1" si="4"/>
        <v>2585.5578480000004</v>
      </c>
      <c r="Q63" s="103">
        <f t="shared" ca="1" si="4"/>
        <v>3884.5637000000002</v>
      </c>
      <c r="R63" s="103">
        <f t="shared" ca="1" si="4"/>
        <v>571430.55479689059</v>
      </c>
      <c r="S63" s="103">
        <f ca="1">DSUM(MercadoBase,S$62,INDIRECT("P"&amp;5+2*(ROW()-65)&amp;":P"&amp;6+2*(ROW()-65)))</f>
        <v>0</v>
      </c>
      <c r="T63" s="103">
        <f t="shared" ca="1" si="4"/>
        <v>-250727.90247359802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12490.765203804833</v>
      </c>
      <c r="G64" s="103">
        <f t="shared" ca="1" si="4"/>
        <v>26481.655021403199</v>
      </c>
      <c r="H64" s="103">
        <f t="shared" ca="1" si="4"/>
        <v>158404.59580818348</v>
      </c>
      <c r="I64" s="103">
        <f t="shared" ca="1" si="4"/>
        <v>2540.918190965423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737.53397160000111</v>
      </c>
      <c r="O64" s="103">
        <f t="shared" ca="1" si="4"/>
        <v>26428.704600000001</v>
      </c>
      <c r="P64" s="103">
        <f t="shared" ca="1" si="4"/>
        <v>2011.1474160000002</v>
      </c>
      <c r="Q64" s="103">
        <f t="shared" ca="1" si="4"/>
        <v>4132.1897799999997</v>
      </c>
      <c r="R64" s="103">
        <f t="shared" ca="1" si="4"/>
        <v>564885.49024216284</v>
      </c>
      <c r="S64" s="103">
        <f t="shared" ca="1" si="4"/>
        <v>0</v>
      </c>
      <c r="T64" s="103">
        <f t="shared" ca="1" si="4"/>
        <v>-247856.10940340697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13319.583123001146</v>
      </c>
      <c r="G65" s="103">
        <f t="shared" ca="1" si="4"/>
        <v>28256.512586419329</v>
      </c>
      <c r="H65" s="103">
        <f t="shared" ca="1" si="4"/>
        <v>169574.25094813845</v>
      </c>
      <c r="I65" s="103">
        <f t="shared" ca="1" si="4"/>
        <v>2742.9395751123539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668.91161760000125</v>
      </c>
      <c r="O65" s="103">
        <f t="shared" ca="1" si="4"/>
        <v>34245.751079999995</v>
      </c>
      <c r="P65" s="103">
        <f t="shared" ca="1" si="4"/>
        <v>5820.8819519999988</v>
      </c>
      <c r="Q65" s="103">
        <f t="shared" ca="1" si="4"/>
        <v>4233.8782699999992</v>
      </c>
      <c r="R65" s="103">
        <f t="shared" ca="1" si="4"/>
        <v>610664.13171247928</v>
      </c>
      <c r="S65" s="103">
        <f t="shared" ca="1" si="4"/>
        <v>0</v>
      </c>
      <c r="T65" s="103">
        <f t="shared" ca="1" si="4"/>
        <v>-267942.50950503111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13955.019919108569</v>
      </c>
      <c r="G66" s="103">
        <f t="shared" ca="1" si="4"/>
        <v>29614.989564998516</v>
      </c>
      <c r="H66" s="103">
        <f t="shared" ca="1" si="4"/>
        <v>177637.15044316775</v>
      </c>
      <c r="I66" s="103">
        <f t="shared" ca="1" si="4"/>
        <v>2867.9914447920146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742.96451760000014</v>
      </c>
      <c r="O66" s="103">
        <f t="shared" ca="1" si="4"/>
        <v>36255.498959999997</v>
      </c>
      <c r="P66" s="103">
        <f t="shared" ca="1" si="4"/>
        <v>3388.8793679999999</v>
      </c>
      <c r="Q66" s="103">
        <f t="shared" ca="1" si="4"/>
        <v>4289.3188099999988</v>
      </c>
      <c r="R66" s="103">
        <f t="shared" ca="1" si="4"/>
        <v>646916.46409061854</v>
      </c>
      <c r="S66" s="103">
        <f t="shared" ca="1" si="4"/>
        <v>0</v>
      </c>
      <c r="T66" s="103">
        <f t="shared" ca="1" si="4"/>
        <v>-283849.02899483556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14675.814080954735</v>
      </c>
      <c r="G67" s="103">
        <f t="shared" ca="1" si="4"/>
        <v>31123.437635470025</v>
      </c>
      <c r="H67" s="103">
        <f t="shared" ca="1" si="4"/>
        <v>186370.22917329049</v>
      </c>
      <c r="I67" s="103">
        <f t="shared" ca="1" si="4"/>
        <v>2997.4092963217759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571.72130039999934</v>
      </c>
      <c r="O67" s="103">
        <f t="shared" ca="1" si="4"/>
        <v>36146.895959999994</v>
      </c>
      <c r="P67" s="103">
        <f t="shared" ca="1" si="4"/>
        <v>6796.953144000001</v>
      </c>
      <c r="Q67" s="103">
        <f t="shared" ca="1" si="4"/>
        <v>4523.0007399999995</v>
      </c>
      <c r="R67" s="103">
        <f t="shared" ca="1" si="4"/>
        <v>678063.28693618544</v>
      </c>
      <c r="S67" s="103">
        <f t="shared" ca="1" si="4"/>
        <v>0</v>
      </c>
      <c r="T67" s="103">
        <f t="shared" ca="1" si="4"/>
        <v>-297515.39229170454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16913.327988753041</v>
      </c>
      <c r="G68" s="103">
        <f t="shared" ca="1" si="4"/>
        <v>35834.873924208019</v>
      </c>
      <c r="H68" s="103">
        <f t="shared" ca="1" si="4"/>
        <v>214779.25899979816</v>
      </c>
      <c r="I68" s="103">
        <f t="shared" ca="1" si="4"/>
        <v>3467.4653831437927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665.65328999999986</v>
      </c>
      <c r="O68" s="103">
        <f t="shared" ca="1" si="4"/>
        <v>35140.376519999983</v>
      </c>
      <c r="P68" s="103">
        <f t="shared" ca="1" si="4"/>
        <v>4244.0968799999991</v>
      </c>
      <c r="Q68" s="103">
        <f t="shared" ca="1" si="4"/>
        <v>4845.693369999999</v>
      </c>
      <c r="R68" s="103">
        <f t="shared" ca="1" si="4"/>
        <v>746048.30671492708</v>
      </c>
      <c r="S68" s="103">
        <f t="shared" ca="1" si="4"/>
        <v>0</v>
      </c>
      <c r="T68" s="103">
        <f t="shared" ca="1" si="4"/>
        <v>-327345.33622042689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18976.667469793687</v>
      </c>
      <c r="G69" s="103">
        <f t="shared" ca="1" si="4"/>
        <v>40254.740346108098</v>
      </c>
      <c r="H69" s="103">
        <f t="shared" ca="1" si="4"/>
        <v>237602.71416723361</v>
      </c>
      <c r="I69" s="103">
        <f t="shared" ca="1" si="4"/>
        <v>3663.9192459400465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571.85295000000019</v>
      </c>
      <c r="O69" s="103">
        <f t="shared" ca="1" si="4"/>
        <v>30872.278620000001</v>
      </c>
      <c r="P69" s="103">
        <f t="shared" ca="1" si="4"/>
        <v>1129.2710039999997</v>
      </c>
      <c r="Q69" s="103">
        <f t="shared" ca="1" si="4"/>
        <v>5751.9992300000013</v>
      </c>
      <c r="R69" s="103">
        <f t="shared" ca="1" si="4"/>
        <v>677093.40608182643</v>
      </c>
      <c r="S69" s="103">
        <f t="shared" ca="1" si="4"/>
        <v>0</v>
      </c>
      <c r="T69" s="103">
        <f t="shared" ca="1" si="4"/>
        <v>-297089.83543230768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16931.534301887536</v>
      </c>
      <c r="G70" s="103">
        <f t="shared" ca="1" si="4"/>
        <v>35871.548533168083</v>
      </c>
      <c r="H70" s="103">
        <f t="shared" ca="1" si="4"/>
        <v>212450.66414768482</v>
      </c>
      <c r="I70" s="103">
        <f t="shared" ca="1" si="4"/>
        <v>3314.8034076786475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634.02447359999883</v>
      </c>
      <c r="O70" s="103">
        <f t="shared" ca="1" si="4"/>
        <v>33454.002299999993</v>
      </c>
      <c r="P70" s="103">
        <f t="shared" ca="1" si="4"/>
        <v>1256.5228199999999</v>
      </c>
      <c r="Q70" s="103">
        <f t="shared" ca="1" si="4"/>
        <v>6009.0871200000001</v>
      </c>
      <c r="R70" s="103">
        <f t="shared" ca="1" si="4"/>
        <v>632977.18830290565</v>
      </c>
      <c r="S70" s="103">
        <f t="shared" ca="1" si="4"/>
        <v>0</v>
      </c>
      <c r="T70" s="103">
        <f t="shared" ca="1" si="4"/>
        <v>-277732.86080796545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15847.084762569793</v>
      </c>
      <c r="G71" s="103">
        <f t="shared" ca="1" si="4"/>
        <v>33565.956680790739</v>
      </c>
      <c r="H71" s="103">
        <f t="shared" ca="1" si="4"/>
        <v>197911.45270914308</v>
      </c>
      <c r="I71" s="103">
        <f t="shared" ca="1" si="4"/>
        <v>3048.4790446692905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614.86945679999894</v>
      </c>
      <c r="O71" s="103">
        <f t="shared" ca="1" si="4"/>
        <v>27027.732419999997</v>
      </c>
      <c r="P71" s="103">
        <f t="shared" ca="1" si="4"/>
        <v>1223.8212359999998</v>
      </c>
      <c r="Q71" s="103">
        <f t="shared" ca="1" si="4"/>
        <v>6358.8049599999995</v>
      </c>
      <c r="R71" s="103">
        <f t="shared" ca="1" si="4"/>
        <v>614713.75416724302</v>
      </c>
      <c r="S71" s="103">
        <f t="shared" ca="1" si="4"/>
        <v>0</v>
      </c>
      <c r="T71" s="103">
        <f t="shared" ca="1" si="4"/>
        <v>-269719.37168954214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14966.155472423488</v>
      </c>
      <c r="G72" s="103">
        <f t="shared" ca="1" si="4"/>
        <v>31661.686666076363</v>
      </c>
      <c r="H72" s="103">
        <f t="shared" ca="1" si="4"/>
        <v>187620.64373644331</v>
      </c>
      <c r="I72" s="103">
        <f t="shared" ca="1" si="4"/>
        <v>2937.9029967306265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668.6154060000008</v>
      </c>
      <c r="O72" s="103">
        <f t="shared" ca="1" si="4"/>
        <v>25838.957399999999</v>
      </c>
      <c r="P72" s="103">
        <f t="shared" ca="1" si="4"/>
        <v>781.99440000000016</v>
      </c>
      <c r="Q72" s="103">
        <f t="shared" ca="1" si="4"/>
        <v>6113.2536699999991</v>
      </c>
      <c r="R72" s="103">
        <f t="shared" ca="1" si="4"/>
        <v>589029.03973182803</v>
      </c>
      <c r="S72" s="103">
        <f t="shared" ca="1" si="4"/>
        <v>0</v>
      </c>
      <c r="T72" s="103">
        <f t="shared" ca="1" si="4"/>
        <v>-258449.63029758268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14635.001090712418</v>
      </c>
      <c r="G73" s="103">
        <f t="shared" ca="1" si="4"/>
        <v>30937.905317315515</v>
      </c>
      <c r="H73" s="103">
        <f t="shared" ca="1" si="4"/>
        <v>183289.43166735888</v>
      </c>
      <c r="I73" s="103">
        <f t="shared" ca="1" si="4"/>
        <v>2871.0809889746952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635.57135640000058</v>
      </c>
      <c r="O73" s="103">
        <f t="shared" ca="1" si="4"/>
        <v>23428.234080000002</v>
      </c>
      <c r="P73" s="103">
        <f t="shared" ca="1" si="4"/>
        <v>504.38638799999995</v>
      </c>
      <c r="Q73" s="103">
        <f t="shared" ca="1" si="4"/>
        <v>6193.9590099999996</v>
      </c>
      <c r="R73" s="103">
        <f t="shared" ca="1" si="4"/>
        <v>580693.14876791963</v>
      </c>
      <c r="S73" s="103">
        <f t="shared" ca="1" si="4"/>
        <v>0</v>
      </c>
      <c r="T73" s="103">
        <f t="shared" ca="1" si="4"/>
        <v>-254792.07219347983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14635.001090712418</v>
      </c>
      <c r="G74" s="103">
        <f t="shared" ca="1" si="4"/>
        <v>30937.905317315515</v>
      </c>
      <c r="H74" s="103">
        <f t="shared" ca="1" si="4"/>
        <v>183289.43166735888</v>
      </c>
      <c r="I74" s="103">
        <f t="shared" ca="1" si="4"/>
        <v>2871.0809889746952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635.57135640000058</v>
      </c>
      <c r="O74" s="103">
        <f t="shared" ca="1" si="4"/>
        <v>23428.234080000002</v>
      </c>
      <c r="P74" s="103">
        <f t="shared" ca="1" si="4"/>
        <v>504.38638799999995</v>
      </c>
      <c r="Q74" s="103">
        <f t="shared" ca="1" si="4"/>
        <v>6193.9590099999996</v>
      </c>
      <c r="R74" s="103">
        <f t="shared" ca="1" si="4"/>
        <v>580693.14876791963</v>
      </c>
      <c r="S74" s="103">
        <f t="shared" ca="1" si="4"/>
        <v>0</v>
      </c>
      <c r="T74" s="103">
        <f t="shared" ca="1" si="4"/>
        <v>-254792.07219347983</v>
      </c>
      <c r="U74" s="103">
        <f t="shared" ca="1" si="4"/>
        <v>0</v>
      </c>
    </row>
    <row r="75" spans="2:21" ht="14.25">
      <c r="B75" s="1168" t="s">
        <v>932</v>
      </c>
      <c r="C75" s="1169"/>
      <c r="D75" s="1169">
        <f t="shared" ref="D75:Q75" ca="1" si="5">SUM(D63:D74)</f>
        <v>0</v>
      </c>
      <c r="E75" s="1169">
        <f t="shared" ca="1" si="5"/>
        <v>0</v>
      </c>
      <c r="F75" s="1169">
        <f t="shared" ca="1" si="5"/>
        <v>179626.41558225855</v>
      </c>
      <c r="G75" s="1169">
        <f t="shared" ca="1" si="5"/>
        <v>380606.1362967522</v>
      </c>
      <c r="H75" s="1169">
        <f t="shared" ca="1" si="5"/>
        <v>2264651.448851007</v>
      </c>
      <c r="I75" s="1169">
        <f t="shared" ca="1" si="5"/>
        <v>35809.573681888338</v>
      </c>
      <c r="J75" s="1169">
        <f t="shared" ca="1" si="5"/>
        <v>0</v>
      </c>
      <c r="K75" s="1169">
        <f t="shared" ca="1" si="5"/>
        <v>0</v>
      </c>
      <c r="L75" s="1169">
        <f t="shared" ca="1" si="5"/>
        <v>0</v>
      </c>
      <c r="M75" s="1169">
        <f t="shared" ca="1" si="5"/>
        <v>0</v>
      </c>
      <c r="N75" s="1169">
        <f t="shared" ca="1" si="5"/>
        <v>7799.5805520000031</v>
      </c>
      <c r="O75" s="1169">
        <f t="shared" ca="1" si="5"/>
        <v>357182.23464000004</v>
      </c>
      <c r="P75" s="1169">
        <f t="shared" ca="1" si="5"/>
        <v>30247.898843999992</v>
      </c>
      <c r="Q75" s="1169">
        <f t="shared" ca="1" si="5"/>
        <v>62529.707669999989</v>
      </c>
      <c r="R75" s="1169">
        <f t="shared" ref="R75:S75" ca="1" si="6">SUM(R63:R74)</f>
        <v>7493207.9203129057</v>
      </c>
      <c r="S75" s="1169">
        <f t="shared" ca="1" si="6"/>
        <v>0</v>
      </c>
      <c r="T75" s="1169">
        <f t="shared" ref="T75:U75" ca="1" si="7">SUM(T63:T74)</f>
        <v>-3287812.1215033606</v>
      </c>
      <c r="U75" s="1169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933</v>
      </c>
    </row>
    <row r="78" spans="2:21" ht="14.25">
      <c r="J78" s="94" t="s">
        <v>934</v>
      </c>
      <c r="K78" s="1170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1" t="s">
        <v>935</v>
      </c>
      <c r="C79" s="1172">
        <f t="shared" ref="C79:C84" ca="1" si="8">SUM(INDIRECT("dados_MercadoBase["&amp;B79&amp;"]"))</f>
        <v>8590567.5079559609</v>
      </c>
      <c r="J79" s="94" t="s">
        <v>936</v>
      </c>
      <c r="K79" s="1173"/>
      <c r="L79" s="1173"/>
      <c r="M79" s="1173">
        <f>SUMIFS(M63:M74,$B$63:$B$74,42826)</f>
        <v>0</v>
      </c>
      <c r="N79" s="1173">
        <f>SUMIFS(N63:N74,$B$63:$B$74,42826)</f>
        <v>0</v>
      </c>
      <c r="O79" s="1173">
        <f>SUMIFS(O63:O74,$B$63:$B$74,42826)</f>
        <v>0</v>
      </c>
      <c r="P79" s="1173">
        <f>SUMIFS(P63:P74,$B$63:$B$74,42826)</f>
        <v>0</v>
      </c>
      <c r="Q79" s="1173">
        <f>SUMIFS(Q63:Q74,$B$63:$B$74,42826)</f>
        <v>0</v>
      </c>
    </row>
    <row r="80" spans="2:21" ht="14.25">
      <c r="B80" s="117" t="s">
        <v>937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938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939</v>
      </c>
      <c r="C82" s="103">
        <f t="shared" ca="1" si="8"/>
        <v>0</v>
      </c>
    </row>
    <row r="83" spans="2:13" ht="14.25">
      <c r="B83" s="117" t="s">
        <v>940</v>
      </c>
      <c r="C83" s="103">
        <f t="shared" ca="1" si="8"/>
        <v>54705.100258760001</v>
      </c>
    </row>
    <row r="84" spans="2:13" ht="14.25">
      <c r="B84" s="117" t="s">
        <v>939</v>
      </c>
      <c r="C84" s="103">
        <f t="shared" ca="1" si="8"/>
        <v>0</v>
      </c>
    </row>
    <row r="85" spans="2:13" ht="14.25">
      <c r="B85" s="1174"/>
      <c r="C85" s="1175"/>
    </row>
    <row r="86" spans="2:13" ht="14.25"/>
    <row r="87" spans="2:13" ht="14.25">
      <c r="B87" s="1171" t="s">
        <v>941</v>
      </c>
      <c r="C87" s="1172">
        <f t="shared" ref="C87:C97" ca="1" si="9">SUM(INDIRECT("dados_MercadoBase["&amp;B87&amp;"]"))</f>
        <v>0</v>
      </c>
    </row>
    <row r="88" spans="2:13" ht="14.25">
      <c r="B88" s="117" t="s">
        <v>942</v>
      </c>
      <c r="C88" s="103">
        <f t="shared" ca="1" si="9"/>
        <v>0</v>
      </c>
    </row>
    <row r="89" spans="2:13" ht="14.25">
      <c r="B89" s="117" t="s">
        <v>943</v>
      </c>
      <c r="C89" s="103">
        <f t="shared" ca="1" si="9"/>
        <v>0</v>
      </c>
    </row>
    <row r="90" spans="2:13" ht="14.25">
      <c r="B90" s="117" t="s">
        <v>944</v>
      </c>
      <c r="C90" s="103">
        <f t="shared" ca="1" si="9"/>
        <v>0</v>
      </c>
    </row>
    <row r="91" spans="2:13" ht="14.25">
      <c r="B91" s="117" t="s">
        <v>945</v>
      </c>
      <c r="C91" s="103">
        <f t="shared" ca="1" si="9"/>
        <v>0</v>
      </c>
    </row>
    <row r="92" spans="2:13" ht="14.25">
      <c r="B92" s="117" t="s">
        <v>946</v>
      </c>
      <c r="C92" s="103">
        <f t="shared" ca="1" si="9"/>
        <v>0</v>
      </c>
      <c r="G92" s="104"/>
    </row>
    <row r="93" spans="2:13" ht="14.25">
      <c r="B93" s="117" t="s">
        <v>947</v>
      </c>
      <c r="C93" s="103">
        <f t="shared" ca="1" si="9"/>
        <v>0</v>
      </c>
      <c r="E93" s="105"/>
      <c r="G93" s="79"/>
    </row>
    <row r="94" spans="2:13" ht="14.25">
      <c r="B94" s="117" t="s">
        <v>948</v>
      </c>
      <c r="C94" s="103">
        <f t="shared" ca="1" si="9"/>
        <v>0</v>
      </c>
      <c r="E94" s="105"/>
      <c r="G94" s="105"/>
    </row>
    <row r="95" spans="2:13" ht="14.25">
      <c r="B95" s="117" t="s">
        <v>949</v>
      </c>
      <c r="C95" s="103">
        <f t="shared" ca="1" si="9"/>
        <v>0</v>
      </c>
      <c r="E95" s="105"/>
      <c r="G95" s="105"/>
    </row>
    <row r="96" spans="2:13" ht="14.25">
      <c r="B96" s="117" t="s">
        <v>950</v>
      </c>
      <c r="C96" s="103">
        <f ca="1">SUM(INDIRECT("dados_MercadoBase["&amp;B96&amp;"]"))</f>
        <v>3237480.1830816967</v>
      </c>
      <c r="E96" s="105"/>
      <c r="G96" s="105"/>
    </row>
    <row r="97" spans="1:7" ht="14.25">
      <c r="B97" s="1174" t="s">
        <v>951</v>
      </c>
      <c r="C97" s="1175">
        <f t="shared" ca="1" si="9"/>
        <v>7493207.9203129103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952</v>
      </c>
      <c r="C100" s="229"/>
      <c r="D100" s="230"/>
      <c r="E100" s="105"/>
      <c r="G100" s="250"/>
    </row>
    <row r="101" spans="1:7" ht="12.75" customHeight="1">
      <c r="A101" s="230"/>
      <c r="B101" s="1163" t="s">
        <v>953</v>
      </c>
      <c r="C101" s="1164" t="s">
        <v>872</v>
      </c>
      <c r="D101" s="230"/>
    </row>
    <row r="102" spans="1:7" ht="12.75" customHeight="1">
      <c r="A102" s="230"/>
      <c r="B102" s="1165" t="s">
        <v>954</v>
      </c>
      <c r="C102" s="1176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955</v>
      </c>
      <c r="E109" s="110"/>
    </row>
    <row r="111" spans="1:7" ht="12.75" customHeight="1">
      <c r="B111" s="1135" t="s">
        <v>776</v>
      </c>
      <c r="C111" s="1135" t="s">
        <v>108</v>
      </c>
      <c r="D111" s="1135" t="s">
        <v>882</v>
      </c>
    </row>
    <row r="112" spans="1:7" ht="12.75" customHeight="1">
      <c r="B112" s="1137" t="s">
        <v>907</v>
      </c>
      <c r="C112" s="1138"/>
      <c r="D112" s="1139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895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0" t="s">
        <v>767</v>
      </c>
      <c r="C120" s="1161">
        <f ca="1">SUM(C114:C119)</f>
        <v>0</v>
      </c>
      <c r="D120" s="1162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W32" sqref="W32:W436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956</v>
      </c>
      <c r="B2" s="259" t="s">
        <v>953</v>
      </c>
      <c r="C2" s="260" t="s">
        <v>58</v>
      </c>
      <c r="D2" s="259" t="s">
        <v>873</v>
      </c>
      <c r="E2" s="260" t="s">
        <v>524</v>
      </c>
      <c r="F2" s="260" t="s">
        <v>902</v>
      </c>
      <c r="G2" s="260" t="s">
        <v>957</v>
      </c>
      <c r="H2" s="260" t="s">
        <v>958</v>
      </c>
      <c r="I2" s="260" t="s">
        <v>959</v>
      </c>
      <c r="J2" s="260" t="s">
        <v>960</v>
      </c>
      <c r="K2" s="485" t="s">
        <v>872</v>
      </c>
      <c r="L2" s="286" t="s">
        <v>961</v>
      </c>
      <c r="M2" s="286" t="s">
        <v>962</v>
      </c>
      <c r="N2" s="286" t="s">
        <v>963</v>
      </c>
      <c r="O2" s="286" t="s">
        <v>964</v>
      </c>
      <c r="P2" s="286" t="s">
        <v>965</v>
      </c>
      <c r="Q2" s="286" t="s">
        <v>966</v>
      </c>
      <c r="R2" s="260" t="s">
        <v>967</v>
      </c>
      <c r="S2" s="260" t="s">
        <v>968</v>
      </c>
      <c r="T2" s="260" t="s">
        <v>969</v>
      </c>
      <c r="U2" s="260" t="s">
        <v>970</v>
      </c>
      <c r="V2" s="260" t="s">
        <v>971</v>
      </c>
      <c r="W2" s="260" t="s">
        <v>767</v>
      </c>
      <c r="X2" s="260" t="s">
        <v>972</v>
      </c>
      <c r="Y2" s="260" t="s">
        <v>39</v>
      </c>
      <c r="Z2" s="260" t="s">
        <v>41</v>
      </c>
      <c r="AA2" s="260" t="s">
        <v>112</v>
      </c>
      <c r="AB2" s="260" t="s">
        <v>948</v>
      </c>
      <c r="AC2" s="260" t="s">
        <v>949</v>
      </c>
      <c r="AD2" s="260" t="s">
        <v>950</v>
      </c>
      <c r="AE2" s="260" t="s">
        <v>951</v>
      </c>
      <c r="AF2" s="260" t="s">
        <v>935</v>
      </c>
      <c r="AG2" s="260" t="s">
        <v>889</v>
      </c>
      <c r="AH2" s="260" t="s">
        <v>973</v>
      </c>
      <c r="AI2" s="260" t="s">
        <v>49</v>
      </c>
      <c r="AJ2" s="260" t="s">
        <v>947</v>
      </c>
      <c r="AK2" s="260" t="s">
        <v>886</v>
      </c>
      <c r="AL2" s="260" t="s">
        <v>47</v>
      </c>
      <c r="AM2" s="260" t="s">
        <v>38</v>
      </c>
      <c r="AN2" s="260" t="s">
        <v>40</v>
      </c>
      <c r="AO2" s="260" t="s">
        <v>943</v>
      </c>
      <c r="AP2" s="260" t="s">
        <v>945</v>
      </c>
      <c r="AQ2" s="260" t="s">
        <v>944</v>
      </c>
      <c r="AR2" s="260" t="s">
        <v>941</v>
      </c>
      <c r="AS2" s="260" t="s">
        <v>942</v>
      </c>
      <c r="AT2" s="260" t="s">
        <v>946</v>
      </c>
      <c r="AU2" s="260" t="s">
        <v>974</v>
      </c>
      <c r="AV2" s="260" t="s">
        <v>975</v>
      </c>
      <c r="AW2" s="260" t="s">
        <v>976</v>
      </c>
      <c r="AX2" s="260" t="s">
        <v>977</v>
      </c>
      <c r="AY2" s="260" t="s">
        <v>978</v>
      </c>
      <c r="AZ2" s="260" t="s">
        <v>979</v>
      </c>
      <c r="BA2" s="260" t="s">
        <v>980</v>
      </c>
      <c r="BB2" s="260" t="s">
        <v>981</v>
      </c>
      <c r="BC2" s="260" t="s">
        <v>982</v>
      </c>
      <c r="BD2" s="260" t="s">
        <v>983</v>
      </c>
      <c r="BE2" s="260" t="s">
        <v>984</v>
      </c>
      <c r="BF2" s="260" t="s">
        <v>985</v>
      </c>
      <c r="BG2" s="260" t="s">
        <v>986</v>
      </c>
      <c r="BH2" s="260" t="s">
        <v>987</v>
      </c>
      <c r="BI2" s="260" t="s">
        <v>988</v>
      </c>
      <c r="BJ2" s="260" t="s">
        <v>989</v>
      </c>
      <c r="BK2" s="260" t="s">
        <v>192</v>
      </c>
      <c r="BL2" s="260" t="s">
        <v>990</v>
      </c>
      <c r="BM2" s="260" t="s">
        <v>991</v>
      </c>
      <c r="BN2" s="260" t="s">
        <v>924</v>
      </c>
      <c r="BO2" s="260" t="s">
        <v>925</v>
      </c>
      <c r="BP2" s="260" t="s">
        <v>926</v>
      </c>
      <c r="BQ2" s="260" t="s">
        <v>927</v>
      </c>
      <c r="BR2" s="286" t="s">
        <v>928</v>
      </c>
      <c r="BS2" s="286" t="s">
        <v>929</v>
      </c>
      <c r="BT2" s="286" t="s">
        <v>930</v>
      </c>
      <c r="BU2" s="286" t="s">
        <v>992</v>
      </c>
      <c r="BV2" s="286" t="s">
        <v>993</v>
      </c>
      <c r="BW2" s="261" t="s">
        <v>994</v>
      </c>
      <c r="BX2" s="261" t="s">
        <v>995</v>
      </c>
      <c r="BY2" s="261" t="s">
        <v>996</v>
      </c>
      <c r="BZ2" s="261" t="s">
        <v>997</v>
      </c>
      <c r="CA2" s="261" t="s">
        <v>998</v>
      </c>
      <c r="CB2" s="261" t="s">
        <v>999</v>
      </c>
      <c r="CC2" s="261" t="s">
        <v>1000</v>
      </c>
      <c r="CD2" s="261" t="s">
        <v>1001</v>
      </c>
      <c r="CE2" s="261" t="s">
        <v>1002</v>
      </c>
      <c r="CF2" s="261" t="s">
        <v>1003</v>
      </c>
      <c r="CG2" s="261" t="s">
        <v>1004</v>
      </c>
      <c r="CH2" s="261" t="s">
        <v>1005</v>
      </c>
      <c r="CI2" s="261" t="s">
        <v>1006</v>
      </c>
      <c r="CJ2" s="286" t="s">
        <v>1007</v>
      </c>
      <c r="CK2" s="261" t="s">
        <v>1008</v>
      </c>
      <c r="CL2" s="261" t="s">
        <v>1009</v>
      </c>
      <c r="CM2" s="261" t="s">
        <v>1010</v>
      </c>
      <c r="CN2" s="261" t="s">
        <v>1011</v>
      </c>
      <c r="CO2" s="286" t="s">
        <v>1012</v>
      </c>
      <c r="CP2" s="286" t="s">
        <v>1013</v>
      </c>
      <c r="CQ2" s="286" t="s">
        <v>1014</v>
      </c>
      <c r="CR2" s="286" t="s">
        <v>1015</v>
      </c>
      <c r="CS2" s="286" t="s">
        <v>1016</v>
      </c>
      <c r="CT2" s="286" t="s">
        <v>1017</v>
      </c>
      <c r="CU2" s="286" t="s">
        <v>1018</v>
      </c>
      <c r="CV2" s="286" t="s">
        <v>1019</v>
      </c>
      <c r="CW2" s="286" t="s">
        <v>1020</v>
      </c>
      <c r="CX2" s="286" t="s">
        <v>1021</v>
      </c>
      <c r="CY2" s="286" t="s">
        <v>1022</v>
      </c>
      <c r="CZ2" s="286" t="s">
        <v>1023</v>
      </c>
      <c r="DA2" s="286" t="s">
        <v>1024</v>
      </c>
      <c r="DB2" s="286" t="s">
        <v>1025</v>
      </c>
      <c r="DC2" s="286" t="s">
        <v>1026</v>
      </c>
      <c r="DD2" s="286" t="s">
        <v>1027</v>
      </c>
      <c r="DE2" s="286" t="s">
        <v>1028</v>
      </c>
      <c r="DF2" s="286" t="s">
        <v>1029</v>
      </c>
      <c r="DG2" s="286" t="s">
        <v>1030</v>
      </c>
      <c r="DH2" s="286" t="s">
        <v>1031</v>
      </c>
      <c r="DI2" s="286" t="s">
        <v>1032</v>
      </c>
      <c r="DJ2" s="286" t="s">
        <v>1033</v>
      </c>
      <c r="DK2" s="286" t="s">
        <v>1034</v>
      </c>
      <c r="DL2" s="286" t="s">
        <v>1035</v>
      </c>
      <c r="DM2" s="286" t="s">
        <v>1036</v>
      </c>
      <c r="DN2" s="286" t="s">
        <v>1037</v>
      </c>
      <c r="DO2" s="286" t="s">
        <v>1038</v>
      </c>
      <c r="DP2" s="286" t="s">
        <v>1039</v>
      </c>
      <c r="DQ2" s="286" t="s">
        <v>1040</v>
      </c>
      <c r="DR2" s="286" t="s">
        <v>2083</v>
      </c>
      <c r="DS2" s="286" t="s">
        <v>1041</v>
      </c>
      <c r="DT2" s="261" t="s">
        <v>1042</v>
      </c>
      <c r="DU2" s="261" t="s">
        <v>1043</v>
      </c>
      <c r="DV2" s="261" t="s">
        <v>1044</v>
      </c>
      <c r="DW2" s="261" t="s">
        <v>1045</v>
      </c>
      <c r="DX2" s="261" t="s">
        <v>1046</v>
      </c>
      <c r="DY2" s="286" t="s">
        <v>1047</v>
      </c>
      <c r="DZ2" s="261" t="s">
        <v>1048</v>
      </c>
      <c r="EA2" s="261" t="s">
        <v>1049</v>
      </c>
      <c r="EB2" s="261" t="s">
        <v>1050</v>
      </c>
      <c r="EC2" s="286" t="s">
        <v>1051</v>
      </c>
      <c r="ED2" s="261" t="s">
        <v>1052</v>
      </c>
      <c r="EE2" s="261" t="s">
        <v>1053</v>
      </c>
      <c r="EF2" s="261" t="s">
        <v>1054</v>
      </c>
      <c r="EG2" s="261" t="s">
        <v>1055</v>
      </c>
      <c r="EH2" s="261" t="s">
        <v>1056</v>
      </c>
      <c r="EI2" s="261" t="s">
        <v>1057</v>
      </c>
      <c r="EJ2" s="261" t="s">
        <v>1058</v>
      </c>
      <c r="EK2" s="261" t="s">
        <v>1059</v>
      </c>
      <c r="EL2" s="261" t="s">
        <v>1060</v>
      </c>
      <c r="EM2" s="261" t="s">
        <v>1061</v>
      </c>
      <c r="EN2" s="261" t="s">
        <v>1062</v>
      </c>
      <c r="EO2" s="261" t="s">
        <v>1063</v>
      </c>
      <c r="EP2" s="286" t="s">
        <v>2027</v>
      </c>
      <c r="EQ2" s="261" t="s">
        <v>2028</v>
      </c>
      <c r="ER2" s="261" t="s">
        <v>2029</v>
      </c>
      <c r="ES2" s="261" t="s">
        <v>2030</v>
      </c>
      <c r="ET2" s="261" t="s">
        <v>2031</v>
      </c>
      <c r="EU2" s="261" t="s">
        <v>2032</v>
      </c>
      <c r="EV2" s="261" t="s">
        <v>1064</v>
      </c>
      <c r="EW2" s="261" t="s">
        <v>1065</v>
      </c>
      <c r="EX2" s="261" t="s">
        <v>1066</v>
      </c>
      <c r="EY2" s="261" t="s">
        <v>1067</v>
      </c>
      <c r="EZ2" s="261" t="s">
        <v>1068</v>
      </c>
      <c r="FA2" s="261" t="s">
        <v>1069</v>
      </c>
      <c r="FB2" s="261" t="s">
        <v>1070</v>
      </c>
      <c r="FC2" s="261" t="s">
        <v>1071</v>
      </c>
      <c r="FD2" s="261" t="s">
        <v>1072</v>
      </c>
      <c r="FE2" s="261" t="s">
        <v>1073</v>
      </c>
      <c r="FF2" s="261" t="s">
        <v>1074</v>
      </c>
      <c r="FG2" s="261" t="s">
        <v>1075</v>
      </c>
      <c r="FH2" s="261" t="s">
        <v>1076</v>
      </c>
      <c r="FI2" s="261" t="s">
        <v>1077</v>
      </c>
    </row>
    <row r="3" spans="1:165" customFormat="1">
      <c r="A3" s="399">
        <v>1</v>
      </c>
      <c r="B3" s="399" t="s">
        <v>954</v>
      </c>
      <c r="C3" s="399" t="s">
        <v>2352</v>
      </c>
      <c r="D3" s="399" t="s">
        <v>1821</v>
      </c>
      <c r="E3" s="399" t="s">
        <v>887</v>
      </c>
      <c r="F3" s="399" t="s">
        <v>887</v>
      </c>
      <c r="G3" s="399" t="s">
        <v>1237</v>
      </c>
      <c r="H3" s="399" t="s">
        <v>1237</v>
      </c>
      <c r="I3" s="399" t="s">
        <v>1237</v>
      </c>
      <c r="J3" s="399" t="s">
        <v>2353</v>
      </c>
      <c r="K3" s="789">
        <v>44440</v>
      </c>
      <c r="L3" s="399">
        <v>0</v>
      </c>
      <c r="M3" s="399">
        <v>0</v>
      </c>
      <c r="N3" s="399">
        <v>439.92200000000003</v>
      </c>
      <c r="O3" s="399">
        <v>439.92200000000003</v>
      </c>
      <c r="P3" s="399">
        <v>439.92200000000003</v>
      </c>
      <c r="Q3" s="399">
        <v>439.92200000000003</v>
      </c>
      <c r="R3" s="399"/>
      <c r="S3" s="399">
        <v>415.98</v>
      </c>
      <c r="T3" s="399">
        <v>215.17</v>
      </c>
      <c r="U3" s="399"/>
      <c r="V3" s="399">
        <v>277656.77030000003</v>
      </c>
      <c r="W3" s="399">
        <v>277656.77030000003</v>
      </c>
      <c r="X3" s="399">
        <v>241314.81388000003</v>
      </c>
      <c r="Y3" s="399">
        <v>0</v>
      </c>
      <c r="Z3" s="399">
        <v>26873.338406791023</v>
      </c>
      <c r="AA3" s="399">
        <v>0</v>
      </c>
      <c r="AB3" s="399">
        <v>0</v>
      </c>
      <c r="AC3" s="399">
        <v>0</v>
      </c>
      <c r="AD3" s="399">
        <v>39291.88744320636</v>
      </c>
      <c r="AE3" s="399">
        <v>111216.89717222525</v>
      </c>
      <c r="AF3" s="399">
        <v>92718.813106119254</v>
      </c>
      <c r="AG3" s="399">
        <v>1938.7250073838684</v>
      </c>
      <c r="AH3" s="399">
        <v>0</v>
      </c>
      <c r="AI3" s="399">
        <v>0</v>
      </c>
      <c r="AJ3" s="399">
        <v>0</v>
      </c>
      <c r="AK3" s="399">
        <v>0</v>
      </c>
      <c r="AL3" s="399">
        <v>4152.6201204358649</v>
      </c>
      <c r="AM3" s="399"/>
      <c r="AN3" s="399">
        <v>517.96305368643084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946.68334812388935</v>
      </c>
      <c r="BH3" s="399">
        <v>0</v>
      </c>
      <c r="BI3" s="399">
        <v>0</v>
      </c>
      <c r="BJ3" s="399">
        <v>0</v>
      </c>
      <c r="BK3" s="399">
        <v>64087.45</v>
      </c>
      <c r="BL3" s="399">
        <v>2828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93665.496454243141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241313.71679999999</v>
      </c>
      <c r="CJ3" s="399">
        <v>-36343.083500000066</v>
      </c>
      <c r="CK3" s="399"/>
      <c r="CL3" s="399"/>
      <c r="CM3" s="399"/>
      <c r="CN3" s="399"/>
      <c r="CO3" s="399">
        <v>-48299.036380000012</v>
      </c>
      <c r="CP3" s="399">
        <v>11957.079960000005</v>
      </c>
      <c r="CQ3" s="399">
        <v>30</v>
      </c>
      <c r="CR3" s="399">
        <v>12455.904759726982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1635.4140898644619</v>
      </c>
      <c r="DA3" s="399">
        <v>0</v>
      </c>
      <c r="DB3" s="399">
        <v>0</v>
      </c>
      <c r="DC3" s="399">
        <v>11956.853434992896</v>
      </c>
      <c r="DD3" s="399">
        <v>0</v>
      </c>
      <c r="DE3" s="399">
        <v>0</v>
      </c>
      <c r="DF3" s="399">
        <v>0</v>
      </c>
      <c r="DG3" s="399">
        <v>122.08260291156466</v>
      </c>
      <c r="DH3" s="399">
        <v>0</v>
      </c>
      <c r="DI3" s="399">
        <v>-1092.6429959169145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-132.03479317491929</v>
      </c>
      <c r="DP3" s="399">
        <v>-33.767578950122072</v>
      </c>
      <c r="DQ3" s="399">
        <v>0</v>
      </c>
      <c r="DR3" s="399">
        <v>0</v>
      </c>
      <c r="DS3" s="399"/>
      <c r="DT3" s="399"/>
      <c r="DU3" s="399"/>
      <c r="DV3" s="399">
        <v>111216.89717222525</v>
      </c>
      <c r="DW3" s="399">
        <v>0</v>
      </c>
      <c r="DX3" s="399">
        <v>0</v>
      </c>
      <c r="DY3" s="399">
        <v>-48299.036380000005</v>
      </c>
      <c r="DZ3" s="399">
        <v>11957.079960000003</v>
      </c>
      <c r="EA3" s="399">
        <v>0</v>
      </c>
      <c r="EB3" s="399">
        <v>0</v>
      </c>
      <c r="EC3" s="399">
        <v>-48798.89448250697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216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2354</v>
      </c>
      <c r="C4" s="399" t="s">
        <v>2352</v>
      </c>
      <c r="D4" s="399" t="s">
        <v>1821</v>
      </c>
      <c r="E4" s="399" t="s">
        <v>887</v>
      </c>
      <c r="F4" s="399" t="s">
        <v>887</v>
      </c>
      <c r="G4" s="399" t="s">
        <v>1237</v>
      </c>
      <c r="H4" s="399" t="s">
        <v>1237</v>
      </c>
      <c r="I4" s="399" t="s">
        <v>1237</v>
      </c>
      <c r="J4" s="399" t="s">
        <v>2353</v>
      </c>
      <c r="K4" s="789">
        <v>44440</v>
      </c>
      <c r="L4" s="399">
        <v>0</v>
      </c>
      <c r="M4" s="399">
        <v>0</v>
      </c>
      <c r="N4" s="399">
        <v>-0.05</v>
      </c>
      <c r="O4" s="399">
        <v>-0.05</v>
      </c>
      <c r="P4" s="399">
        <v>-0.05</v>
      </c>
      <c r="Q4" s="399">
        <v>-0.05</v>
      </c>
      <c r="R4" s="399"/>
      <c r="S4" s="399">
        <v>415.98</v>
      </c>
      <c r="T4" s="399">
        <v>215.17</v>
      </c>
      <c r="U4" s="399"/>
      <c r="V4" s="399">
        <v>-31.557500000000005</v>
      </c>
      <c r="W4" s="399">
        <v>-31.557500000000005</v>
      </c>
      <c r="X4" s="399">
        <v>-27.427</v>
      </c>
      <c r="Y4" s="399">
        <v>0</v>
      </c>
      <c r="Z4" s="399">
        <v>-3.0543299047093604</v>
      </c>
      <c r="AA4" s="399">
        <v>0</v>
      </c>
      <c r="AB4" s="399">
        <v>0</v>
      </c>
      <c r="AC4" s="399">
        <v>0</v>
      </c>
      <c r="AD4" s="399">
        <v>-4.4657788702549954</v>
      </c>
      <c r="AE4" s="399">
        <v>-12.64052458983925</v>
      </c>
      <c r="AF4" s="399">
        <v>-10.538096879233052</v>
      </c>
      <c r="AG4" s="399">
        <v>-0.22034872174884051</v>
      </c>
      <c r="AH4" s="399">
        <v>0</v>
      </c>
      <c r="AI4" s="399">
        <v>0</v>
      </c>
      <c r="AJ4" s="399">
        <v>0</v>
      </c>
      <c r="AK4" s="399">
        <v>0</v>
      </c>
      <c r="AL4" s="399">
        <v>-0.47197231786951604</v>
      </c>
      <c r="AM4" s="399"/>
      <c r="AN4" s="399">
        <v>-5.8869873942020506E-2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-0.107596727161166</v>
      </c>
      <c r="BH4" s="399">
        <v>0</v>
      </c>
      <c r="BI4" s="399">
        <v>0</v>
      </c>
      <c r="BJ4" s="399">
        <v>0</v>
      </c>
      <c r="BK4" s="399">
        <v>-5.13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-10.645693606394218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-27.427</v>
      </c>
      <c r="CJ4" s="399">
        <v>4.1005000000000003</v>
      </c>
      <c r="CK4" s="399"/>
      <c r="CL4" s="399"/>
      <c r="CM4" s="399"/>
      <c r="CN4" s="399"/>
      <c r="CO4" s="399">
        <v>5.4895000000000014</v>
      </c>
      <c r="CP4" s="399">
        <v>-1.3590000000000004</v>
      </c>
      <c r="CQ4" s="399">
        <v>30</v>
      </c>
      <c r="CR4" s="399">
        <v>-1.4156946867543532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-0.18587546086174989</v>
      </c>
      <c r="DA4" s="399">
        <v>0</v>
      </c>
      <c r="DB4" s="399">
        <v>0</v>
      </c>
      <c r="DC4" s="399">
        <v>-1.3589742539578484</v>
      </c>
      <c r="DD4" s="399">
        <v>0</v>
      </c>
      <c r="DE4" s="399">
        <v>0</v>
      </c>
      <c r="DF4" s="399">
        <v>0</v>
      </c>
      <c r="DG4" s="399">
        <v>-1.3875482802811007E-2</v>
      </c>
      <c r="DH4" s="399">
        <v>0</v>
      </c>
      <c r="DI4" s="399">
        <v>0.12418599159816024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1.5006614033274024E-2</v>
      </c>
      <c r="DP4" s="399">
        <v>3.8379052366240077E-3</v>
      </c>
      <c r="DQ4" s="399">
        <v>0</v>
      </c>
      <c r="DR4" s="399">
        <v>0</v>
      </c>
      <c r="DS4" s="399"/>
      <c r="DT4" s="399"/>
      <c r="DU4" s="399"/>
      <c r="DV4" s="399">
        <v>-12.64052458983925</v>
      </c>
      <c r="DW4" s="399">
        <v>0</v>
      </c>
      <c r="DX4" s="399">
        <v>0</v>
      </c>
      <c r="DY4" s="399">
        <v>5.4895000000000032</v>
      </c>
      <c r="DZ4" s="399">
        <v>-1.359</v>
      </c>
      <c r="EA4" s="399">
        <v>0</v>
      </c>
      <c r="EB4" s="399">
        <v>0</v>
      </c>
      <c r="EC4" s="399">
        <v>5.5463121283439998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216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2355</v>
      </c>
      <c r="C5" s="399" t="s">
        <v>2352</v>
      </c>
      <c r="D5" s="399" t="s">
        <v>1821</v>
      </c>
      <c r="E5" s="399" t="s">
        <v>887</v>
      </c>
      <c r="F5" s="399" t="s">
        <v>887</v>
      </c>
      <c r="G5" s="399" t="s">
        <v>1237</v>
      </c>
      <c r="H5" s="399" t="s">
        <v>1237</v>
      </c>
      <c r="I5" s="399" t="s">
        <v>1237</v>
      </c>
      <c r="J5" s="399" t="s">
        <v>2353</v>
      </c>
      <c r="K5" s="789">
        <v>44440</v>
      </c>
      <c r="L5" s="399">
        <v>0</v>
      </c>
      <c r="M5" s="399">
        <v>0</v>
      </c>
      <c r="N5" s="399">
        <v>1.4510000000000001</v>
      </c>
      <c r="O5" s="399">
        <v>1.4510000000000001</v>
      </c>
      <c r="P5" s="399">
        <v>1.4510000000000001</v>
      </c>
      <c r="Q5" s="399">
        <v>1.4510000000000001</v>
      </c>
      <c r="R5" s="399"/>
      <c r="S5" s="399">
        <v>415.98</v>
      </c>
      <c r="T5" s="399">
        <v>215.17</v>
      </c>
      <c r="U5" s="399"/>
      <c r="V5" s="399">
        <v>915.79864999999995</v>
      </c>
      <c r="W5" s="399">
        <v>915.79864999999995</v>
      </c>
      <c r="X5" s="399">
        <v>795.93154000000004</v>
      </c>
      <c r="Y5" s="399">
        <v>0</v>
      </c>
      <c r="Z5" s="399">
        <v>88.636653834665637</v>
      </c>
      <c r="AA5" s="399">
        <v>0</v>
      </c>
      <c r="AB5" s="399">
        <v>0</v>
      </c>
      <c r="AC5" s="399">
        <v>0</v>
      </c>
      <c r="AD5" s="399">
        <v>129.59690281479996</v>
      </c>
      <c r="AE5" s="399">
        <v>366.82802359713503</v>
      </c>
      <c r="AF5" s="399">
        <v>305.81557143534314</v>
      </c>
      <c r="AG5" s="399">
        <v>6.3945199051513519</v>
      </c>
      <c r="AH5" s="399">
        <v>0</v>
      </c>
      <c r="AI5" s="399">
        <v>0</v>
      </c>
      <c r="AJ5" s="399">
        <v>0</v>
      </c>
      <c r="AK5" s="399">
        <v>0</v>
      </c>
      <c r="AL5" s="399">
        <v>13.696636664573356</v>
      </c>
      <c r="AM5" s="399"/>
      <c r="AN5" s="399">
        <v>1.7084037417974349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3.1224570222170374</v>
      </c>
      <c r="BH5" s="399">
        <v>0</v>
      </c>
      <c r="BI5" s="399">
        <v>0</v>
      </c>
      <c r="BJ5" s="399">
        <v>0</v>
      </c>
      <c r="BK5" s="399">
        <v>669.88</v>
      </c>
      <c r="BL5" s="399">
        <v>15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308.93802845756016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795.38300000000004</v>
      </c>
      <c r="CJ5" s="399">
        <v>-120.44564999999989</v>
      </c>
      <c r="CK5" s="399"/>
      <c r="CL5" s="399"/>
      <c r="CM5" s="399"/>
      <c r="CN5" s="399"/>
      <c r="CO5" s="399">
        <v>-159.30529000000004</v>
      </c>
      <c r="CP5" s="399">
        <v>39.43818000000001</v>
      </c>
      <c r="CQ5" s="399">
        <v>30</v>
      </c>
      <c r="CR5" s="399">
        <v>41.083459809611441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5.3941058742079804</v>
      </c>
      <c r="DA5" s="399">
        <v>0</v>
      </c>
      <c r="DB5" s="399">
        <v>0</v>
      </c>
      <c r="DC5" s="399">
        <v>39.437432849856805</v>
      </c>
      <c r="DD5" s="399">
        <v>0</v>
      </c>
      <c r="DE5" s="399">
        <v>0</v>
      </c>
      <c r="DF5" s="399">
        <v>0</v>
      </c>
      <c r="DG5" s="399">
        <v>0.40266651093757533</v>
      </c>
      <c r="DH5" s="399">
        <v>0</v>
      </c>
      <c r="DI5" s="399">
        <v>-3.6038774761786101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-0.4354919392456118</v>
      </c>
      <c r="DP5" s="399">
        <v>-0.11137600996682862</v>
      </c>
      <c r="DQ5" s="399">
        <v>0</v>
      </c>
      <c r="DR5" s="399">
        <v>0</v>
      </c>
      <c r="DS5" s="399"/>
      <c r="DT5" s="399"/>
      <c r="DU5" s="399"/>
      <c r="DV5" s="399">
        <v>366.82802359713503</v>
      </c>
      <c r="DW5" s="399">
        <v>0</v>
      </c>
      <c r="DX5" s="399">
        <v>0</v>
      </c>
      <c r="DY5" s="399">
        <v>-159.30529000000001</v>
      </c>
      <c r="DZ5" s="399">
        <v>39.438180000000045</v>
      </c>
      <c r="EA5" s="399">
        <v>0</v>
      </c>
      <c r="EB5" s="399">
        <v>0</v>
      </c>
      <c r="EC5" s="399">
        <v>-160.95397796454284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216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954</v>
      </c>
      <c r="C6" s="399" t="s">
        <v>2352</v>
      </c>
      <c r="D6" s="399" t="s">
        <v>1821</v>
      </c>
      <c r="E6" s="399" t="s">
        <v>887</v>
      </c>
      <c r="F6" s="399" t="s">
        <v>2356</v>
      </c>
      <c r="G6" s="399" t="s">
        <v>1237</v>
      </c>
      <c r="H6" s="399" t="s">
        <v>1237</v>
      </c>
      <c r="I6" s="399" t="s">
        <v>1237</v>
      </c>
      <c r="J6" s="399" t="s">
        <v>2353</v>
      </c>
      <c r="K6" s="789">
        <v>44440</v>
      </c>
      <c r="L6" s="399">
        <v>0</v>
      </c>
      <c r="M6" s="399">
        <v>0</v>
      </c>
      <c r="N6" s="399">
        <v>4.9800000000000004</v>
      </c>
      <c r="O6" s="399">
        <v>4.9800000000000004</v>
      </c>
      <c r="P6" s="399">
        <v>4.9800000000000004</v>
      </c>
      <c r="Q6" s="399">
        <v>4.9800000000000004</v>
      </c>
      <c r="R6" s="399"/>
      <c r="S6" s="399">
        <v>345.46</v>
      </c>
      <c r="T6" s="399">
        <v>215.17</v>
      </c>
      <c r="U6" s="399"/>
      <c r="V6" s="399">
        <v>2791.9374000000003</v>
      </c>
      <c r="W6" s="399">
        <v>2791.9374000000003</v>
      </c>
      <c r="X6" s="399">
        <v>2394.384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444.79157547739754</v>
      </c>
      <c r="AE6" s="399">
        <v>1258.9962491479894</v>
      </c>
      <c r="AF6" s="399">
        <v>1049.594449171612</v>
      </c>
      <c r="AG6" s="399">
        <v>21.946732686184514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5.863439444625242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10.716634025252134</v>
      </c>
      <c r="BH6" s="399">
        <v>0</v>
      </c>
      <c r="BI6" s="399">
        <v>0</v>
      </c>
      <c r="BJ6" s="399">
        <v>0</v>
      </c>
      <c r="BK6" s="399">
        <v>141.88</v>
      </c>
      <c r="BL6" s="399">
        <v>6</v>
      </c>
      <c r="BM6" s="399"/>
      <c r="BN6" s="399"/>
      <c r="BO6" s="399"/>
      <c r="BP6" s="399"/>
      <c r="BQ6" s="399"/>
      <c r="BR6" s="399"/>
      <c r="BS6" s="399"/>
      <c r="BT6" s="399">
        <v>1556.3496</v>
      </c>
      <c r="BU6" s="399"/>
      <c r="BV6" s="399">
        <v>1060.3110831968643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838.03440000000001</v>
      </c>
      <c r="CJ6" s="399">
        <v>-139.1712</v>
      </c>
      <c r="CK6" s="399"/>
      <c r="CL6" s="399"/>
      <c r="CM6" s="399"/>
      <c r="CN6" s="399"/>
      <c r="CO6" s="399">
        <v>-532.90980000000002</v>
      </c>
      <c r="CP6" s="399">
        <v>135.35640000000004</v>
      </c>
      <c r="CQ6" s="399">
        <v>30</v>
      </c>
      <c r="CR6" s="399">
        <v>154.86677432162423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18.513195901830329</v>
      </c>
      <c r="DA6" s="399">
        <v>0</v>
      </c>
      <c r="DB6" s="399">
        <v>0</v>
      </c>
      <c r="DC6" s="399">
        <v>135.35383569420173</v>
      </c>
      <c r="DD6" s="399">
        <v>0</v>
      </c>
      <c r="DE6" s="399">
        <v>0</v>
      </c>
      <c r="DF6" s="399">
        <v>0</v>
      </c>
      <c r="DG6" s="399">
        <v>1.3819980871599764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-0.38225536156775064</v>
      </c>
      <c r="DQ6" s="399">
        <v>0</v>
      </c>
      <c r="DR6" s="399">
        <v>0</v>
      </c>
      <c r="DS6" s="399"/>
      <c r="DT6" s="399"/>
      <c r="DU6" s="399"/>
      <c r="DV6" s="399">
        <v>1258.9962491479894</v>
      </c>
      <c r="DW6" s="399">
        <v>0</v>
      </c>
      <c r="DX6" s="399">
        <v>0</v>
      </c>
      <c r="DY6" s="399">
        <v>-532.90980000000013</v>
      </c>
      <c r="DZ6" s="399">
        <v>135.35639999999989</v>
      </c>
      <c r="EA6" s="399">
        <v>0</v>
      </c>
      <c r="EB6" s="399">
        <v>0</v>
      </c>
      <c r="EC6" s="399">
        <v>-552.41268798306237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216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2354</v>
      </c>
      <c r="C7" s="399" t="s">
        <v>2352</v>
      </c>
      <c r="D7" s="399" t="s">
        <v>1821</v>
      </c>
      <c r="E7" s="399" t="s">
        <v>887</v>
      </c>
      <c r="F7" s="399" t="s">
        <v>2356</v>
      </c>
      <c r="G7" s="399" t="s">
        <v>1237</v>
      </c>
      <c r="H7" s="399" t="s">
        <v>1237</v>
      </c>
      <c r="I7" s="399" t="s">
        <v>1237</v>
      </c>
      <c r="J7" s="399" t="s">
        <v>2353</v>
      </c>
      <c r="K7" s="789">
        <v>44440</v>
      </c>
      <c r="L7" s="399">
        <v>0</v>
      </c>
      <c r="M7" s="399">
        <v>0</v>
      </c>
      <c r="N7" s="399">
        <v>0</v>
      </c>
      <c r="O7" s="399">
        <v>0</v>
      </c>
      <c r="P7" s="399">
        <v>0</v>
      </c>
      <c r="Q7" s="399">
        <v>0</v>
      </c>
      <c r="R7" s="399"/>
      <c r="S7" s="399"/>
      <c r="T7" s="399"/>
      <c r="U7" s="399"/>
      <c r="V7" s="399"/>
      <c r="W7" s="399"/>
      <c r="X7" s="399"/>
      <c r="Y7" s="399"/>
      <c r="Z7" s="399"/>
      <c r="AA7" s="399">
        <v>0</v>
      </c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>
        <v>0</v>
      </c>
      <c r="BA7" s="399"/>
      <c r="BB7" s="399"/>
      <c r="BC7" s="399"/>
      <c r="BD7" s="399"/>
      <c r="BE7" s="399"/>
      <c r="BF7" s="399"/>
      <c r="BG7" s="399"/>
      <c r="BH7" s="399"/>
      <c r="BI7" s="399">
        <v>0</v>
      </c>
      <c r="BJ7" s="399">
        <v>0</v>
      </c>
      <c r="BK7" s="399">
        <v>0.18</v>
      </c>
      <c r="BL7" s="399">
        <v>0</v>
      </c>
      <c r="BM7" s="399"/>
      <c r="BN7" s="399"/>
      <c r="BO7" s="399"/>
      <c r="BP7" s="399"/>
      <c r="BQ7" s="399"/>
      <c r="BR7" s="399"/>
      <c r="BS7" s="399"/>
      <c r="BT7" s="399"/>
      <c r="BU7" s="399"/>
      <c r="BV7" s="399"/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/>
      <c r="CJ7" s="399">
        <v>-0.03</v>
      </c>
      <c r="CK7" s="399"/>
      <c r="CL7" s="399"/>
      <c r="CM7" s="399"/>
      <c r="CN7" s="399"/>
      <c r="CO7" s="399">
        <v>0</v>
      </c>
      <c r="CP7" s="399">
        <v>0</v>
      </c>
      <c r="CQ7" s="399">
        <v>30</v>
      </c>
      <c r="CR7" s="399"/>
      <c r="CS7" s="399"/>
      <c r="CT7" s="399"/>
      <c r="CU7" s="399"/>
      <c r="CV7" s="399"/>
      <c r="CW7" s="399"/>
      <c r="CX7" s="399"/>
      <c r="CY7" s="399"/>
      <c r="CZ7" s="399"/>
      <c r="DA7" s="399"/>
      <c r="DB7" s="399"/>
      <c r="DC7" s="399"/>
      <c r="DD7" s="399"/>
      <c r="DE7" s="399"/>
      <c r="DF7" s="399"/>
      <c r="DG7" s="399"/>
      <c r="DH7" s="399"/>
      <c r="DI7" s="399"/>
      <c r="DJ7" s="399"/>
      <c r="DK7" s="399">
        <v>0</v>
      </c>
      <c r="DL7" s="399"/>
      <c r="DM7" s="399"/>
      <c r="DN7" s="399"/>
      <c r="DO7" s="399"/>
      <c r="DP7" s="399"/>
      <c r="DQ7" s="399"/>
      <c r="DR7" s="399"/>
      <c r="DS7" s="399"/>
      <c r="DT7" s="399"/>
      <c r="DU7" s="399"/>
      <c r="DV7" s="399"/>
      <c r="DW7" s="399"/>
      <c r="DX7" s="399"/>
      <c r="DY7" s="399"/>
      <c r="DZ7" s="399"/>
      <c r="EA7" s="399"/>
      <c r="EB7" s="399"/>
      <c r="EC7" s="399"/>
      <c r="ED7" s="399"/>
      <c r="EE7" s="399"/>
      <c r="EF7" s="399"/>
      <c r="EG7" s="399"/>
      <c r="EH7" s="399"/>
      <c r="EI7" s="399"/>
      <c r="EJ7" s="399"/>
      <c r="EK7" s="399"/>
      <c r="EL7" s="399"/>
      <c r="EM7" s="399"/>
      <c r="EN7" s="399"/>
      <c r="EO7" s="399"/>
      <c r="EP7" s="399"/>
      <c r="EQ7" s="399"/>
      <c r="ER7" s="399"/>
      <c r="ES7" s="399"/>
      <c r="ET7" s="399"/>
      <c r="EU7" s="399"/>
      <c r="EV7" s="399">
        <v>216</v>
      </c>
      <c r="EW7" s="399"/>
      <c r="EX7" s="399"/>
      <c r="EY7" s="399"/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954</v>
      </c>
      <c r="C8" s="399" t="s">
        <v>2352</v>
      </c>
      <c r="D8" s="399" t="s">
        <v>1821</v>
      </c>
      <c r="E8" s="399" t="s">
        <v>887</v>
      </c>
      <c r="F8" s="399" t="s">
        <v>2357</v>
      </c>
      <c r="G8" s="399" t="s">
        <v>1237</v>
      </c>
      <c r="H8" s="399" t="s">
        <v>1237</v>
      </c>
      <c r="I8" s="399" t="s">
        <v>1237</v>
      </c>
      <c r="J8" s="399" t="s">
        <v>2353</v>
      </c>
      <c r="K8" s="789">
        <v>44440</v>
      </c>
      <c r="L8" s="399">
        <v>0</v>
      </c>
      <c r="M8" s="399">
        <v>0</v>
      </c>
      <c r="N8" s="399">
        <v>10.137</v>
      </c>
      <c r="O8" s="399">
        <v>10.137</v>
      </c>
      <c r="P8" s="399">
        <v>10.137</v>
      </c>
      <c r="Q8" s="399">
        <v>10.137</v>
      </c>
      <c r="R8" s="399"/>
      <c r="S8" s="399">
        <v>345.46</v>
      </c>
      <c r="T8" s="399">
        <v>215.17</v>
      </c>
      <c r="U8" s="399"/>
      <c r="V8" s="399">
        <v>5683.1063099999992</v>
      </c>
      <c r="W8" s="399">
        <v>5683.1063099999992</v>
      </c>
      <c r="X8" s="399">
        <v>4873.8696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905.39200815549771</v>
      </c>
      <c r="AE8" s="399">
        <v>2562.7399553440096</v>
      </c>
      <c r="AF8" s="399">
        <v>2136.4937612957087</v>
      </c>
      <c r="AG8" s="399">
        <v>44.673499847359928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11.935278243005238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21.814160464654794</v>
      </c>
      <c r="BH8" s="399">
        <v>0</v>
      </c>
      <c r="BI8" s="399">
        <v>0</v>
      </c>
      <c r="BJ8" s="399">
        <v>0</v>
      </c>
      <c r="BK8" s="399">
        <v>511.38</v>
      </c>
      <c r="BL8" s="399">
        <v>36</v>
      </c>
      <c r="BM8" s="399"/>
      <c r="BN8" s="399"/>
      <c r="BO8" s="399"/>
      <c r="BP8" s="399"/>
      <c r="BQ8" s="399"/>
      <c r="BR8" s="399"/>
      <c r="BS8" s="399"/>
      <c r="BT8" s="399">
        <v>1949.5478400000002</v>
      </c>
      <c r="BU8" s="399"/>
      <c r="BV8" s="399">
        <v>2158.3079217603636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2925.1872000000003</v>
      </c>
      <c r="CJ8" s="399">
        <v>-484.62549000000035</v>
      </c>
      <c r="CK8" s="399"/>
      <c r="CL8" s="399"/>
      <c r="CM8" s="399"/>
      <c r="CN8" s="399"/>
      <c r="CO8" s="399">
        <v>-1084.76037</v>
      </c>
      <c r="CP8" s="399">
        <v>275.52366000000006</v>
      </c>
      <c r="CQ8" s="399">
        <v>30</v>
      </c>
      <c r="CR8" s="399">
        <v>315.23784965829464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37.68439093511131</v>
      </c>
      <c r="DA8" s="399">
        <v>0</v>
      </c>
      <c r="DB8" s="399">
        <v>0</v>
      </c>
      <c r="DC8" s="399">
        <v>275.51844024741467</v>
      </c>
      <c r="DD8" s="399">
        <v>0</v>
      </c>
      <c r="DE8" s="399">
        <v>0</v>
      </c>
      <c r="DF8" s="399">
        <v>0</v>
      </c>
      <c r="DG8" s="399">
        <v>2.8131153834419038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-0.77809690767315232</v>
      </c>
      <c r="DQ8" s="399">
        <v>0</v>
      </c>
      <c r="DR8" s="399">
        <v>0</v>
      </c>
      <c r="DS8" s="399"/>
      <c r="DT8" s="399"/>
      <c r="DU8" s="399"/>
      <c r="DV8" s="399">
        <v>2562.7399553440096</v>
      </c>
      <c r="DW8" s="399">
        <v>0</v>
      </c>
      <c r="DX8" s="399">
        <v>0</v>
      </c>
      <c r="DY8" s="399">
        <v>-1084.76037</v>
      </c>
      <c r="DZ8" s="399">
        <v>275.52366000000029</v>
      </c>
      <c r="EA8" s="399">
        <v>0</v>
      </c>
      <c r="EB8" s="399">
        <v>0</v>
      </c>
      <c r="EC8" s="399">
        <v>-1124.4593209004624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216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2354</v>
      </c>
      <c r="C9" s="399" t="s">
        <v>2352</v>
      </c>
      <c r="D9" s="399" t="s">
        <v>1821</v>
      </c>
      <c r="E9" s="399" t="s">
        <v>887</v>
      </c>
      <c r="F9" s="399" t="s">
        <v>2357</v>
      </c>
      <c r="G9" s="399" t="s">
        <v>1237</v>
      </c>
      <c r="H9" s="399" t="s">
        <v>1237</v>
      </c>
      <c r="I9" s="399" t="s">
        <v>1237</v>
      </c>
      <c r="J9" s="399" t="s">
        <v>2353</v>
      </c>
      <c r="K9" s="789">
        <v>44440</v>
      </c>
      <c r="L9" s="399">
        <v>0</v>
      </c>
      <c r="M9" s="399">
        <v>0</v>
      </c>
      <c r="N9" s="399">
        <v>-0.14000000000000001</v>
      </c>
      <c r="O9" s="399">
        <v>-0.14000000000000001</v>
      </c>
      <c r="P9" s="399">
        <v>-0.14000000000000001</v>
      </c>
      <c r="Q9" s="399">
        <v>-0.14000000000000001</v>
      </c>
      <c r="R9" s="399"/>
      <c r="S9" s="399">
        <v>345.46</v>
      </c>
      <c r="T9" s="399">
        <v>215.17</v>
      </c>
      <c r="U9" s="399"/>
      <c r="V9" s="399">
        <v>-78.488200000000006</v>
      </c>
      <c r="W9" s="399">
        <v>-78.488200000000006</v>
      </c>
      <c r="X9" s="399">
        <v>-67.312000000000012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-12.504180836713987</v>
      </c>
      <c r="AE9" s="399">
        <v>-35.393468851549905</v>
      </c>
      <c r="AF9" s="399">
        <v>-29.506671261852546</v>
      </c>
      <c r="AG9" s="399">
        <v>-0.61697642089675342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-0.16483564703765741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-0.30127083605126481</v>
      </c>
      <c r="BH9" s="399">
        <v>0</v>
      </c>
      <c r="BI9" s="399">
        <v>0</v>
      </c>
      <c r="BJ9" s="399">
        <v>0</v>
      </c>
      <c r="BK9" s="399">
        <v>-6.84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>
        <v>-26.924800000000001</v>
      </c>
      <c r="BU9" s="399"/>
      <c r="BV9" s="399">
        <v>-29.807942097903812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-40.387200000000007</v>
      </c>
      <c r="CJ9" s="399">
        <v>6.6745999999999981</v>
      </c>
      <c r="CK9" s="399"/>
      <c r="CL9" s="399"/>
      <c r="CM9" s="399"/>
      <c r="CN9" s="399"/>
      <c r="CO9" s="399">
        <v>14.981400000000001</v>
      </c>
      <c r="CP9" s="399">
        <v>-3.8052000000000015</v>
      </c>
      <c r="CQ9" s="399">
        <v>30</v>
      </c>
      <c r="CR9" s="399">
        <v>-4.3536844186801957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-0.52045129041290039</v>
      </c>
      <c r="DA9" s="399">
        <v>0</v>
      </c>
      <c r="DB9" s="399">
        <v>0</v>
      </c>
      <c r="DC9" s="399">
        <v>-3.8051279110819749</v>
      </c>
      <c r="DD9" s="399">
        <v>0</v>
      </c>
      <c r="DE9" s="399">
        <v>0</v>
      </c>
      <c r="DF9" s="399">
        <v>0</v>
      </c>
      <c r="DG9" s="399">
        <v>-3.8851351847870863E-2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1.0746134662547202E-2</v>
      </c>
      <c r="DQ9" s="399">
        <v>0</v>
      </c>
      <c r="DR9" s="399">
        <v>0</v>
      </c>
      <c r="DS9" s="399"/>
      <c r="DT9" s="399"/>
      <c r="DU9" s="399"/>
      <c r="DV9" s="399">
        <v>-35.393468851549905</v>
      </c>
      <c r="DW9" s="399">
        <v>0</v>
      </c>
      <c r="DX9" s="399">
        <v>0</v>
      </c>
      <c r="DY9" s="399">
        <v>14.981400000000001</v>
      </c>
      <c r="DZ9" s="399">
        <v>-3.8051999999999992</v>
      </c>
      <c r="EA9" s="399">
        <v>0</v>
      </c>
      <c r="EB9" s="399">
        <v>0</v>
      </c>
      <c r="EC9" s="399">
        <v>15.529673959363201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216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954</v>
      </c>
      <c r="C10" s="399" t="s">
        <v>2352</v>
      </c>
      <c r="D10" s="399" t="s">
        <v>1821</v>
      </c>
      <c r="E10" s="399" t="s">
        <v>887</v>
      </c>
      <c r="F10" s="399" t="s">
        <v>2358</v>
      </c>
      <c r="G10" s="399" t="s">
        <v>1237</v>
      </c>
      <c r="H10" s="399" t="s">
        <v>1237</v>
      </c>
      <c r="I10" s="399" t="s">
        <v>1237</v>
      </c>
      <c r="J10" s="399" t="s">
        <v>2353</v>
      </c>
      <c r="K10" s="789">
        <v>44440</v>
      </c>
      <c r="L10" s="399">
        <v>0</v>
      </c>
      <c r="M10" s="399">
        <v>0</v>
      </c>
      <c r="N10" s="399">
        <v>8.66</v>
      </c>
      <c r="O10" s="399">
        <v>8.66</v>
      </c>
      <c r="P10" s="399">
        <v>8.66</v>
      </c>
      <c r="Q10" s="399">
        <v>8.66</v>
      </c>
      <c r="R10" s="399"/>
      <c r="S10" s="399">
        <v>345.46</v>
      </c>
      <c r="T10" s="399">
        <v>215.17</v>
      </c>
      <c r="U10" s="399"/>
      <c r="V10" s="399">
        <v>4855.0558000000001</v>
      </c>
      <c r="W10" s="399">
        <v>4855.0558000000001</v>
      </c>
      <c r="X10" s="399">
        <v>4163.7280000000001</v>
      </c>
      <c r="Y10" s="399">
        <v>0</v>
      </c>
      <c r="Z10" s="399">
        <v>0</v>
      </c>
      <c r="AA10" s="399">
        <v>0</v>
      </c>
      <c r="AB10" s="399">
        <v>0</v>
      </c>
      <c r="AC10" s="399">
        <v>0</v>
      </c>
      <c r="AD10" s="399">
        <v>773.47290032816511</v>
      </c>
      <c r="AE10" s="399">
        <v>2189.3388589601582</v>
      </c>
      <c r="AF10" s="399">
        <v>1825.1983794831644</v>
      </c>
      <c r="AG10" s="399">
        <v>38.164398606899177</v>
      </c>
      <c r="AH10" s="399">
        <v>0</v>
      </c>
      <c r="AI10" s="399">
        <v>0</v>
      </c>
      <c r="AJ10" s="399">
        <v>0</v>
      </c>
      <c r="AK10" s="399">
        <v>0</v>
      </c>
      <c r="AL10" s="399">
        <v>0</v>
      </c>
      <c r="AM10" s="399"/>
      <c r="AN10" s="399">
        <v>10.19626216675795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18.635753144313952</v>
      </c>
      <c r="BH10" s="399">
        <v>0</v>
      </c>
      <c r="BI10" s="399">
        <v>0</v>
      </c>
      <c r="BJ10" s="399">
        <v>0</v>
      </c>
      <c r="BK10" s="399">
        <v>1165.33</v>
      </c>
      <c r="BL10" s="399">
        <v>94</v>
      </c>
      <c r="BM10" s="399"/>
      <c r="BN10" s="399"/>
      <c r="BO10" s="399"/>
      <c r="BP10" s="399"/>
      <c r="BQ10" s="399"/>
      <c r="BR10" s="399"/>
      <c r="BS10" s="399"/>
      <c r="BT10" s="399">
        <v>416.45939999999979</v>
      </c>
      <c r="BU10" s="399"/>
      <c r="BV10" s="399">
        <v>1843.8341326274783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3747.2686000000003</v>
      </c>
      <c r="CJ10" s="399">
        <v>-622.25100000000111</v>
      </c>
      <c r="CK10" s="399"/>
      <c r="CL10" s="399"/>
      <c r="CM10" s="399"/>
      <c r="CN10" s="399"/>
      <c r="CO10" s="399">
        <v>-926.70659999999998</v>
      </c>
      <c r="CP10" s="399">
        <v>235.37880000000007</v>
      </c>
      <c r="CQ10" s="399">
        <v>30</v>
      </c>
      <c r="CR10" s="399">
        <v>269.30647904121815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32.193629821255172</v>
      </c>
      <c r="DA10" s="399">
        <v>0</v>
      </c>
      <c r="DB10" s="399">
        <v>0</v>
      </c>
      <c r="DC10" s="399">
        <v>235.3743407854995</v>
      </c>
      <c r="DD10" s="399">
        <v>0</v>
      </c>
      <c r="DE10" s="399">
        <v>0</v>
      </c>
      <c r="DF10" s="399">
        <v>0</v>
      </c>
      <c r="DG10" s="399">
        <v>2.4032336214468657</v>
      </c>
      <c r="DH10" s="399">
        <v>0</v>
      </c>
      <c r="DI10" s="399">
        <v>0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0</v>
      </c>
      <c r="DP10" s="399">
        <v>-0.66472518698327754</v>
      </c>
      <c r="DQ10" s="399">
        <v>0</v>
      </c>
      <c r="DR10" s="399">
        <v>0</v>
      </c>
      <c r="DS10" s="399"/>
      <c r="DT10" s="399"/>
      <c r="DU10" s="399"/>
      <c r="DV10" s="399">
        <v>2189.3388589601582</v>
      </c>
      <c r="DW10" s="399">
        <v>0</v>
      </c>
      <c r="DX10" s="399">
        <v>0</v>
      </c>
      <c r="DY10" s="399">
        <v>-926.70659999999998</v>
      </c>
      <c r="DZ10" s="399">
        <v>235.37880000000018</v>
      </c>
      <c r="EA10" s="399">
        <v>0</v>
      </c>
      <c r="EB10" s="399">
        <v>0</v>
      </c>
      <c r="EC10" s="399">
        <v>-960.62126062918082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216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2354</v>
      </c>
      <c r="C11" s="399" t="s">
        <v>2352</v>
      </c>
      <c r="D11" s="399" t="s">
        <v>1821</v>
      </c>
      <c r="E11" s="399" t="s">
        <v>887</v>
      </c>
      <c r="F11" s="399" t="s">
        <v>2358</v>
      </c>
      <c r="G11" s="399" t="s">
        <v>1237</v>
      </c>
      <c r="H11" s="399" t="s">
        <v>1237</v>
      </c>
      <c r="I11" s="399" t="s">
        <v>1237</v>
      </c>
      <c r="J11" s="399" t="s">
        <v>2353</v>
      </c>
      <c r="K11" s="789">
        <v>44440</v>
      </c>
      <c r="L11" s="399">
        <v>0</v>
      </c>
      <c r="M11" s="399">
        <v>0</v>
      </c>
      <c r="N11" s="399">
        <v>-0.22600000000000001</v>
      </c>
      <c r="O11" s="399">
        <v>-0.22600000000000001</v>
      </c>
      <c r="P11" s="399">
        <v>-0.22600000000000001</v>
      </c>
      <c r="Q11" s="399">
        <v>-0.22600000000000001</v>
      </c>
      <c r="R11" s="399"/>
      <c r="S11" s="399">
        <v>345.46</v>
      </c>
      <c r="T11" s="399">
        <v>215.17</v>
      </c>
      <c r="U11" s="399"/>
      <c r="V11" s="399">
        <v>-126.70238000000001</v>
      </c>
      <c r="W11" s="399">
        <v>-126.70238000000001</v>
      </c>
      <c r="X11" s="399">
        <v>-108.66079999999999</v>
      </c>
      <c r="Y11" s="399">
        <v>0</v>
      </c>
      <c r="Z11" s="399">
        <v>0</v>
      </c>
      <c r="AA11" s="399">
        <v>0</v>
      </c>
      <c r="AB11" s="399">
        <v>0</v>
      </c>
      <c r="AC11" s="399">
        <v>0</v>
      </c>
      <c r="AD11" s="399">
        <v>-20.185320493552577</v>
      </c>
      <c r="AE11" s="399">
        <v>-57.135171146073411</v>
      </c>
      <c r="AF11" s="399">
        <v>-47.632197894133391</v>
      </c>
      <c r="AG11" s="399">
        <v>-0.99597622230475913</v>
      </c>
      <c r="AH11" s="399">
        <v>0</v>
      </c>
      <c r="AI11" s="399">
        <v>0</v>
      </c>
      <c r="AJ11" s="399">
        <v>0</v>
      </c>
      <c r="AK11" s="399">
        <v>0</v>
      </c>
      <c r="AL11" s="399">
        <v>0</v>
      </c>
      <c r="AM11" s="399"/>
      <c r="AN11" s="399">
        <v>-0.26609183021793265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-0.48633720676847031</v>
      </c>
      <c r="BH11" s="399">
        <v>0</v>
      </c>
      <c r="BI11" s="399">
        <v>0</v>
      </c>
      <c r="BJ11" s="399">
        <v>0</v>
      </c>
      <c r="BK11" s="399">
        <v>-32.090000000000003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>
        <v>-10.868339999999995</v>
      </c>
      <c r="BU11" s="399"/>
      <c r="BV11" s="399">
        <v>-48.118535100901859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-99.523300000000006</v>
      </c>
      <c r="CJ11" s="399">
        <v>14.477259999999987</v>
      </c>
      <c r="CK11" s="399"/>
      <c r="CL11" s="399"/>
      <c r="CM11" s="399"/>
      <c r="CN11" s="399"/>
      <c r="CO11" s="399">
        <v>24.184259999999998</v>
      </c>
      <c r="CP11" s="399">
        <v>-6.1426800000000021</v>
      </c>
      <c r="CQ11" s="399">
        <v>30</v>
      </c>
      <c r="CR11" s="399">
        <v>-7.0280905615837668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-0.84015708309511083</v>
      </c>
      <c r="DA11" s="399">
        <v>0</v>
      </c>
      <c r="DB11" s="399">
        <v>0</v>
      </c>
      <c r="DC11" s="399">
        <v>-6.14256362788948</v>
      </c>
      <c r="DD11" s="399">
        <v>0</v>
      </c>
      <c r="DE11" s="399">
        <v>0</v>
      </c>
      <c r="DF11" s="399">
        <v>0</v>
      </c>
      <c r="DG11" s="399">
        <v>-6.2717182268705762E-2</v>
      </c>
      <c r="DH11" s="399">
        <v>0</v>
      </c>
      <c r="DI11" s="399">
        <v>0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0</v>
      </c>
      <c r="DP11" s="399">
        <v>1.7347331669540472E-2</v>
      </c>
      <c r="DQ11" s="399">
        <v>0</v>
      </c>
      <c r="DR11" s="399">
        <v>0</v>
      </c>
      <c r="DS11" s="399"/>
      <c r="DT11" s="399"/>
      <c r="DU11" s="399"/>
      <c r="DV11" s="399">
        <v>-57.135171146073411</v>
      </c>
      <c r="DW11" s="399">
        <v>0</v>
      </c>
      <c r="DX11" s="399">
        <v>0</v>
      </c>
      <c r="DY11" s="399">
        <v>24.184260000000002</v>
      </c>
      <c r="DZ11" s="399">
        <v>-6.1426799999999986</v>
      </c>
      <c r="EA11" s="399">
        <v>0</v>
      </c>
      <c r="EB11" s="399">
        <v>0</v>
      </c>
      <c r="EC11" s="399">
        <v>25.069330820114878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216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954</v>
      </c>
      <c r="C12" s="399" t="s">
        <v>2352</v>
      </c>
      <c r="D12" s="399" t="s">
        <v>1821</v>
      </c>
      <c r="E12" s="399" t="s">
        <v>887</v>
      </c>
      <c r="F12" s="399" t="s">
        <v>2359</v>
      </c>
      <c r="G12" s="399" t="s">
        <v>1237</v>
      </c>
      <c r="H12" s="399" t="s">
        <v>1237</v>
      </c>
      <c r="I12" s="399" t="s">
        <v>1237</v>
      </c>
      <c r="J12" s="399" t="s">
        <v>2353</v>
      </c>
      <c r="K12" s="789">
        <v>44440</v>
      </c>
      <c r="L12" s="399">
        <v>0</v>
      </c>
      <c r="M12" s="399">
        <v>0</v>
      </c>
      <c r="N12" s="399">
        <v>1.9179999999999999</v>
      </c>
      <c r="O12" s="399">
        <v>1.9179999999999999</v>
      </c>
      <c r="P12" s="399">
        <v>1.9179999999999999</v>
      </c>
      <c r="Q12" s="399">
        <v>1.9179999999999999</v>
      </c>
      <c r="R12" s="399"/>
      <c r="S12" s="399">
        <v>345.46</v>
      </c>
      <c r="T12" s="399">
        <v>215.17</v>
      </c>
      <c r="U12" s="399"/>
      <c r="V12" s="399">
        <v>1075.2883400000001</v>
      </c>
      <c r="W12" s="399">
        <v>1075.2883400000001</v>
      </c>
      <c r="X12" s="399">
        <v>922.17439999999988</v>
      </c>
      <c r="Y12" s="399">
        <v>0</v>
      </c>
      <c r="Z12" s="399">
        <v>0</v>
      </c>
      <c r="AA12" s="399">
        <v>0</v>
      </c>
      <c r="AB12" s="399">
        <v>0</v>
      </c>
      <c r="AC12" s="399">
        <v>0</v>
      </c>
      <c r="AD12" s="399">
        <v>171.3072774629816</v>
      </c>
      <c r="AE12" s="399">
        <v>484.89052326623357</v>
      </c>
      <c r="AF12" s="399">
        <v>404.24139628737981</v>
      </c>
      <c r="AG12" s="399">
        <v>8.4525769662855215</v>
      </c>
      <c r="AH12" s="399">
        <v>0</v>
      </c>
      <c r="AI12" s="399">
        <v>0</v>
      </c>
      <c r="AJ12" s="399">
        <v>0</v>
      </c>
      <c r="AK12" s="399">
        <v>0</v>
      </c>
      <c r="AL12" s="399">
        <v>0</v>
      </c>
      <c r="AM12" s="399"/>
      <c r="AN12" s="399">
        <v>2.2582483644159064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4.1274104539023275</v>
      </c>
      <c r="BH12" s="399">
        <v>0</v>
      </c>
      <c r="BI12" s="399">
        <v>0</v>
      </c>
      <c r="BJ12" s="399">
        <v>0</v>
      </c>
      <c r="BK12" s="399">
        <v>529.29999999999995</v>
      </c>
      <c r="BL12" s="399">
        <v>30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408.36880674128213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923.13599999999997</v>
      </c>
      <c r="CJ12" s="399">
        <v>-152.18234000000007</v>
      </c>
      <c r="CK12" s="399"/>
      <c r="CL12" s="399"/>
      <c r="CM12" s="399"/>
      <c r="CN12" s="399"/>
      <c r="CO12" s="399">
        <v>-205.24517999999998</v>
      </c>
      <c r="CP12" s="399">
        <v>52.131240000000012</v>
      </c>
      <c r="CQ12" s="399">
        <v>30</v>
      </c>
      <c r="CR12" s="399">
        <v>59.645476535918874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7.1301826786567517</v>
      </c>
      <c r="DA12" s="399">
        <v>0</v>
      </c>
      <c r="DB12" s="399">
        <v>0</v>
      </c>
      <c r="DC12" s="399">
        <v>52.130252381823084</v>
      </c>
      <c r="DD12" s="399">
        <v>0</v>
      </c>
      <c r="DE12" s="399">
        <v>0</v>
      </c>
      <c r="DF12" s="399">
        <v>0</v>
      </c>
      <c r="DG12" s="399">
        <v>0.53226352031582991</v>
      </c>
      <c r="DH12" s="399">
        <v>0</v>
      </c>
      <c r="DI12" s="399">
        <v>0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0</v>
      </c>
      <c r="DP12" s="399">
        <v>-0.14722204487689705</v>
      </c>
      <c r="DQ12" s="399">
        <v>0</v>
      </c>
      <c r="DR12" s="399">
        <v>0</v>
      </c>
      <c r="DS12" s="399"/>
      <c r="DT12" s="399"/>
      <c r="DU12" s="399"/>
      <c r="DV12" s="399">
        <v>484.89052326623357</v>
      </c>
      <c r="DW12" s="399">
        <v>0</v>
      </c>
      <c r="DX12" s="399">
        <v>0</v>
      </c>
      <c r="DY12" s="399">
        <v>-205.24518</v>
      </c>
      <c r="DZ12" s="399">
        <v>52.131239999999991</v>
      </c>
      <c r="EA12" s="399">
        <v>0</v>
      </c>
      <c r="EB12" s="399">
        <v>0</v>
      </c>
      <c r="EC12" s="399">
        <v>-212.75653324327578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216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2354</v>
      </c>
      <c r="C13" s="399" t="s">
        <v>2352</v>
      </c>
      <c r="D13" s="399" t="s">
        <v>1821</v>
      </c>
      <c r="E13" s="399" t="s">
        <v>887</v>
      </c>
      <c r="F13" s="399" t="s">
        <v>2359</v>
      </c>
      <c r="G13" s="399" t="s">
        <v>1237</v>
      </c>
      <c r="H13" s="399" t="s">
        <v>1237</v>
      </c>
      <c r="I13" s="399" t="s">
        <v>1237</v>
      </c>
      <c r="J13" s="399" t="s">
        <v>2353</v>
      </c>
      <c r="K13" s="789">
        <v>44440</v>
      </c>
      <c r="L13" s="399">
        <v>0</v>
      </c>
      <c r="M13" s="399">
        <v>0</v>
      </c>
      <c r="N13" s="399">
        <v>-8.9999999999999993E-3</v>
      </c>
      <c r="O13" s="399">
        <v>-8.9999999999999993E-3</v>
      </c>
      <c r="P13" s="399">
        <v>-8.9999999999999993E-3</v>
      </c>
      <c r="Q13" s="399">
        <v>-8.9999999999999993E-3</v>
      </c>
      <c r="R13" s="399"/>
      <c r="S13" s="399">
        <v>345.46</v>
      </c>
      <c r="T13" s="399">
        <v>215.17</v>
      </c>
      <c r="U13" s="399"/>
      <c r="V13" s="399">
        <v>-5.0456699999999994</v>
      </c>
      <c r="W13" s="399">
        <v>-5.0456699999999994</v>
      </c>
      <c r="X13" s="399">
        <v>-4.3271999999999995</v>
      </c>
      <c r="Y13" s="399">
        <v>0</v>
      </c>
      <c r="Z13" s="399">
        <v>0</v>
      </c>
      <c r="AA13" s="399">
        <v>0</v>
      </c>
      <c r="AB13" s="399">
        <v>0</v>
      </c>
      <c r="AC13" s="399">
        <v>0</v>
      </c>
      <c r="AD13" s="399">
        <v>-0.80384019664589901</v>
      </c>
      <c r="AE13" s="399">
        <v>-2.2752944261710648</v>
      </c>
      <c r="AF13" s="399">
        <v>-1.896857438261949</v>
      </c>
      <c r="AG13" s="399">
        <v>-3.9662769914791285E-2</v>
      </c>
      <c r="AH13" s="399">
        <v>0</v>
      </c>
      <c r="AI13" s="399">
        <v>0</v>
      </c>
      <c r="AJ13" s="399">
        <v>0</v>
      </c>
      <c r="AK13" s="399">
        <v>0</v>
      </c>
      <c r="AL13" s="399">
        <v>0</v>
      </c>
      <c r="AM13" s="399"/>
      <c r="AN13" s="399">
        <v>-1.059657730956369E-2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-1.9367410889009878E-2</v>
      </c>
      <c r="BH13" s="399">
        <v>0</v>
      </c>
      <c r="BI13" s="399">
        <v>0</v>
      </c>
      <c r="BJ13" s="399">
        <v>0</v>
      </c>
      <c r="BK13" s="399">
        <v>-3.53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-1.9162248491509588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-4.8079999999999998</v>
      </c>
      <c r="CJ13" s="399">
        <v>0.20767000000000024</v>
      </c>
      <c r="CK13" s="399"/>
      <c r="CL13" s="399"/>
      <c r="CM13" s="399"/>
      <c r="CN13" s="399"/>
      <c r="CO13" s="399">
        <v>0.96308999999999989</v>
      </c>
      <c r="CP13" s="399">
        <v>-0.24462000000000003</v>
      </c>
      <c r="CQ13" s="399">
        <v>30</v>
      </c>
      <c r="CR13" s="399">
        <v>-0.27987971262944145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-3.3457582955115139E-2</v>
      </c>
      <c r="DA13" s="399">
        <v>0</v>
      </c>
      <c r="DB13" s="399">
        <v>0</v>
      </c>
      <c r="DC13" s="399">
        <v>-0.24461536571241305</v>
      </c>
      <c r="DD13" s="399">
        <v>0</v>
      </c>
      <c r="DE13" s="399">
        <v>0</v>
      </c>
      <c r="DF13" s="399">
        <v>0</v>
      </c>
      <c r="DG13" s="399">
        <v>-2.4975869045059836E-3</v>
      </c>
      <c r="DH13" s="399">
        <v>0</v>
      </c>
      <c r="DI13" s="399">
        <v>0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0</v>
      </c>
      <c r="DP13" s="399">
        <v>6.9082294259232256E-4</v>
      </c>
      <c r="DQ13" s="399">
        <v>0</v>
      </c>
      <c r="DR13" s="399">
        <v>0</v>
      </c>
      <c r="DS13" s="399"/>
      <c r="DT13" s="399"/>
      <c r="DU13" s="399"/>
      <c r="DV13" s="399">
        <v>-2.2752944261710648</v>
      </c>
      <c r="DW13" s="399">
        <v>0</v>
      </c>
      <c r="DX13" s="399">
        <v>0</v>
      </c>
      <c r="DY13" s="399">
        <v>0.96308999999999978</v>
      </c>
      <c r="DZ13" s="399">
        <v>-0.24462000000000006</v>
      </c>
      <c r="EA13" s="399">
        <v>0</v>
      </c>
      <c r="EB13" s="399">
        <v>0</v>
      </c>
      <c r="EC13" s="399">
        <v>0.99833618310191974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216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954</v>
      </c>
      <c r="C14" s="399" t="s">
        <v>2352</v>
      </c>
      <c r="D14" s="399" t="s">
        <v>1824</v>
      </c>
      <c r="E14" s="399" t="s">
        <v>888</v>
      </c>
      <c r="F14" s="399" t="s">
        <v>1237</v>
      </c>
      <c r="G14" s="399" t="s">
        <v>1237</v>
      </c>
      <c r="H14" s="399" t="s">
        <v>1237</v>
      </c>
      <c r="I14" s="399" t="s">
        <v>1237</v>
      </c>
      <c r="J14" s="399" t="s">
        <v>2353</v>
      </c>
      <c r="K14" s="789">
        <v>44440</v>
      </c>
      <c r="L14" s="399">
        <v>0</v>
      </c>
      <c r="M14" s="399">
        <v>0</v>
      </c>
      <c r="N14" s="399">
        <v>19.715</v>
      </c>
      <c r="O14" s="399">
        <v>19.715</v>
      </c>
      <c r="P14" s="399">
        <v>19.715</v>
      </c>
      <c r="Q14" s="399">
        <v>19.715</v>
      </c>
      <c r="R14" s="399"/>
      <c r="S14" s="399">
        <v>415.98</v>
      </c>
      <c r="T14" s="399">
        <v>215.17</v>
      </c>
      <c r="U14" s="399"/>
      <c r="V14" s="399">
        <v>12443.12225</v>
      </c>
      <c r="W14" s="399">
        <v>12443.12225</v>
      </c>
      <c r="X14" s="399">
        <v>10814.4661</v>
      </c>
      <c r="Y14" s="399">
        <v>0</v>
      </c>
      <c r="Z14" s="399">
        <v>1204.3222814269006</v>
      </c>
      <c r="AA14" s="399">
        <v>0</v>
      </c>
      <c r="AB14" s="399">
        <v>0</v>
      </c>
      <c r="AC14" s="399">
        <v>0</v>
      </c>
      <c r="AD14" s="399">
        <v>1760.8566085415446</v>
      </c>
      <c r="AE14" s="399">
        <v>4984.1588457736161</v>
      </c>
      <c r="AF14" s="399">
        <v>4155.1715994815922</v>
      </c>
      <c r="AG14" s="399">
        <v>86.883500985567807</v>
      </c>
      <c r="AH14" s="399">
        <v>0</v>
      </c>
      <c r="AI14" s="399">
        <v>0</v>
      </c>
      <c r="AJ14" s="399">
        <v>0</v>
      </c>
      <c r="AK14" s="399">
        <v>0</v>
      </c>
      <c r="AL14" s="399">
        <v>186.09868493595016</v>
      </c>
      <c r="AM14" s="399"/>
      <c r="AN14" s="399">
        <v>23.212391295338684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42.425389519647752</v>
      </c>
      <c r="BH14" s="399">
        <v>0</v>
      </c>
      <c r="BI14" s="399">
        <v>0</v>
      </c>
      <c r="BJ14" s="399">
        <v>0</v>
      </c>
      <c r="BK14" s="399">
        <v>5129.2299999999996</v>
      </c>
      <c r="BL14" s="399">
        <v>40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4197.5969890012402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10817.2088</v>
      </c>
      <c r="CJ14" s="399">
        <v>-1625.9434500000007</v>
      </c>
      <c r="CK14" s="399"/>
      <c r="CL14" s="399"/>
      <c r="CM14" s="399"/>
      <c r="CN14" s="399"/>
      <c r="CO14" s="399">
        <v>-2164.5098500000004</v>
      </c>
      <c r="CP14" s="399">
        <v>535.85370000000012</v>
      </c>
      <c r="CQ14" s="399">
        <v>30</v>
      </c>
      <c r="CR14" s="399">
        <v>558.20841498724167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73.290694217788086</v>
      </c>
      <c r="DA14" s="399">
        <v>0</v>
      </c>
      <c r="DB14" s="399">
        <v>0</v>
      </c>
      <c r="DC14" s="399">
        <v>535.84354833557973</v>
      </c>
      <c r="DD14" s="399">
        <v>0</v>
      </c>
      <c r="DE14" s="399">
        <v>0</v>
      </c>
      <c r="DF14" s="399">
        <v>0</v>
      </c>
      <c r="DG14" s="399">
        <v>5.4711028691483818</v>
      </c>
      <c r="DH14" s="399">
        <v>0</v>
      </c>
      <c r="DI14" s="399">
        <v>-48.966536487154372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-5.9171079133199385</v>
      </c>
      <c r="DP14" s="399">
        <v>-1.5132860348008457</v>
      </c>
      <c r="DQ14" s="399">
        <v>0</v>
      </c>
      <c r="DR14" s="399">
        <v>0</v>
      </c>
      <c r="DS14" s="399"/>
      <c r="DT14" s="399"/>
      <c r="DU14" s="399"/>
      <c r="DV14" s="399">
        <v>4984.1588457736161</v>
      </c>
      <c r="DW14" s="399">
        <v>0</v>
      </c>
      <c r="DX14" s="399">
        <v>0</v>
      </c>
      <c r="DY14" s="399">
        <v>-2164.5098500000004</v>
      </c>
      <c r="DZ14" s="399">
        <v>535.85369999999966</v>
      </c>
      <c r="EA14" s="399">
        <v>0</v>
      </c>
      <c r="EB14" s="399">
        <v>0</v>
      </c>
      <c r="EC14" s="399">
        <v>-2186.9108722060387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216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2355</v>
      </c>
      <c r="C15" s="399" t="s">
        <v>2352</v>
      </c>
      <c r="D15" s="399" t="s">
        <v>1824</v>
      </c>
      <c r="E15" s="399" t="s">
        <v>888</v>
      </c>
      <c r="F15" s="399" t="s">
        <v>1237</v>
      </c>
      <c r="G15" s="399" t="s">
        <v>1237</v>
      </c>
      <c r="H15" s="399" t="s">
        <v>1237</v>
      </c>
      <c r="I15" s="399" t="s">
        <v>1237</v>
      </c>
      <c r="J15" s="399" t="s">
        <v>2353</v>
      </c>
      <c r="K15" s="789">
        <v>44440</v>
      </c>
      <c r="L15" s="399">
        <v>0</v>
      </c>
      <c r="M15" s="399">
        <v>0</v>
      </c>
      <c r="N15" s="399">
        <v>13.798999999999999</v>
      </c>
      <c r="O15" s="399">
        <v>13.798999999999999</v>
      </c>
      <c r="P15" s="399">
        <v>13.798999999999999</v>
      </c>
      <c r="Q15" s="399">
        <v>13.798999999999999</v>
      </c>
      <c r="R15" s="399"/>
      <c r="S15" s="399">
        <v>415.98</v>
      </c>
      <c r="T15" s="399">
        <v>215.17</v>
      </c>
      <c r="U15" s="399"/>
      <c r="V15" s="399">
        <v>8709.2388499999997</v>
      </c>
      <c r="W15" s="399">
        <v>8709.2388499999997</v>
      </c>
      <c r="X15" s="399">
        <v>7569.3034600000001</v>
      </c>
      <c r="Y15" s="399">
        <v>0</v>
      </c>
      <c r="Z15" s="399">
        <v>842.93396710168918</v>
      </c>
      <c r="AA15" s="399">
        <v>0</v>
      </c>
      <c r="AB15" s="399">
        <v>0</v>
      </c>
      <c r="AC15" s="399">
        <v>0</v>
      </c>
      <c r="AD15" s="399">
        <v>1232.4656526129736</v>
      </c>
      <c r="AE15" s="399">
        <v>3488.531976303836</v>
      </c>
      <c r="AF15" s="399">
        <v>2908.3039767307373</v>
      </c>
      <c r="AG15" s="399">
        <v>60.811840228245003</v>
      </c>
      <c r="AH15" s="399">
        <v>0</v>
      </c>
      <c r="AI15" s="399">
        <v>0</v>
      </c>
      <c r="AJ15" s="399">
        <v>0</v>
      </c>
      <c r="AK15" s="399">
        <v>0</v>
      </c>
      <c r="AL15" s="399">
        <v>130.25492028562903</v>
      </c>
      <c r="AM15" s="399"/>
      <c r="AN15" s="399">
        <v>16.246907810518817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29.694544761938591</v>
      </c>
      <c r="BH15" s="399">
        <v>0</v>
      </c>
      <c r="BI15" s="399">
        <v>0</v>
      </c>
      <c r="BJ15" s="399">
        <v>0</v>
      </c>
      <c r="BK15" s="399">
        <v>4345.24</v>
      </c>
      <c r="BL15" s="399">
        <v>4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2937.998521492676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7569.8520000000008</v>
      </c>
      <c r="CJ15" s="399">
        <v>-1139.4168499999996</v>
      </c>
      <c r="CK15" s="399"/>
      <c r="CL15" s="399"/>
      <c r="CM15" s="399"/>
      <c r="CN15" s="399"/>
      <c r="CO15" s="399">
        <v>-1514.9922100000001</v>
      </c>
      <c r="CP15" s="399">
        <v>375.05682000000007</v>
      </c>
      <c r="CQ15" s="399">
        <v>30</v>
      </c>
      <c r="CR15" s="399">
        <v>390.70341965046555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51.297909688625623</v>
      </c>
      <c r="DA15" s="399">
        <v>0</v>
      </c>
      <c r="DB15" s="399">
        <v>0</v>
      </c>
      <c r="DC15" s="399">
        <v>375.04971460728711</v>
      </c>
      <c r="DD15" s="399">
        <v>0</v>
      </c>
      <c r="DE15" s="399">
        <v>0</v>
      </c>
      <c r="DF15" s="399">
        <v>0</v>
      </c>
      <c r="DG15" s="399">
        <v>3.8293557439197805</v>
      </c>
      <c r="DH15" s="399">
        <v>0</v>
      </c>
      <c r="DI15" s="399">
        <v>-34.272849961260135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-4.1415253409029589</v>
      </c>
      <c r="DP15" s="399">
        <v>-1.0591850872034936</v>
      </c>
      <c r="DQ15" s="399">
        <v>0</v>
      </c>
      <c r="DR15" s="399">
        <v>0</v>
      </c>
      <c r="DS15" s="399"/>
      <c r="DT15" s="399"/>
      <c r="DU15" s="399"/>
      <c r="DV15" s="399">
        <v>3488.531976303836</v>
      </c>
      <c r="DW15" s="399">
        <v>0</v>
      </c>
      <c r="DX15" s="399">
        <v>0</v>
      </c>
      <c r="DY15" s="399">
        <v>-1514.9922099999994</v>
      </c>
      <c r="DZ15" s="399">
        <v>375.05682000000024</v>
      </c>
      <c r="EA15" s="399">
        <v>0</v>
      </c>
      <c r="EB15" s="399">
        <v>0</v>
      </c>
      <c r="EC15" s="399">
        <v>-1530.671221180377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216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954</v>
      </c>
      <c r="C16" s="399" t="s">
        <v>2360</v>
      </c>
      <c r="D16" s="399" t="s">
        <v>533</v>
      </c>
      <c r="E16" s="399" t="s">
        <v>888</v>
      </c>
      <c r="F16" s="399" t="s">
        <v>1237</v>
      </c>
      <c r="G16" s="399" t="s">
        <v>1237</v>
      </c>
      <c r="H16" s="399" t="s">
        <v>1237</v>
      </c>
      <c r="I16" s="399" t="s">
        <v>891</v>
      </c>
      <c r="J16" s="399" t="s">
        <v>2353</v>
      </c>
      <c r="K16" s="789">
        <v>44440</v>
      </c>
      <c r="L16" s="399">
        <v>0</v>
      </c>
      <c r="M16" s="399">
        <v>0</v>
      </c>
      <c r="N16" s="399">
        <v>125.227</v>
      </c>
      <c r="O16" s="399">
        <v>125.227</v>
      </c>
      <c r="P16" s="399">
        <v>125.227</v>
      </c>
      <c r="Q16" s="399">
        <v>125.227</v>
      </c>
      <c r="R16" s="399"/>
      <c r="S16" s="399">
        <v>2184.0300000000002</v>
      </c>
      <c r="T16" s="399">
        <v>215.17</v>
      </c>
      <c r="U16" s="399"/>
      <c r="V16" s="399">
        <v>300444.61840000004</v>
      </c>
      <c r="W16" s="399">
        <v>300444.61840000004</v>
      </c>
      <c r="X16" s="399">
        <v>226709.70853</v>
      </c>
      <c r="Y16" s="399">
        <v>0</v>
      </c>
      <c r="Z16" s="399">
        <v>6655.231535000471</v>
      </c>
      <c r="AA16" s="399">
        <v>0</v>
      </c>
      <c r="AB16" s="399">
        <v>0</v>
      </c>
      <c r="AC16" s="399">
        <v>0</v>
      </c>
      <c r="AD16" s="399">
        <v>82523.874967559517</v>
      </c>
      <c r="AE16" s="399">
        <v>182947.64018332399</v>
      </c>
      <c r="AF16" s="399">
        <v>26393.085157914345</v>
      </c>
      <c r="AG16" s="399">
        <v>551.87218756884101</v>
      </c>
      <c r="AH16" s="399">
        <v>0</v>
      </c>
      <c r="AI16" s="399">
        <v>0</v>
      </c>
      <c r="AJ16" s="399">
        <v>0</v>
      </c>
      <c r="AK16" s="399">
        <v>0</v>
      </c>
      <c r="AL16" s="399">
        <v>1182.0735489969177</v>
      </c>
      <c r="AM16" s="399"/>
      <c r="AN16" s="399">
        <v>86.390681855676391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104.0449881054827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26497.130146019826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226715.1397</v>
      </c>
      <c r="CJ16" s="399">
        <v>-73729.508700000064</v>
      </c>
      <c r="CK16" s="399"/>
      <c r="CL16" s="399"/>
      <c r="CM16" s="399"/>
      <c r="CN16" s="399"/>
      <c r="CO16" s="399">
        <v>-77138.579730000027</v>
      </c>
      <c r="CP16" s="399">
        <v>3403.6698600000009</v>
      </c>
      <c r="CQ16" s="399">
        <v>30</v>
      </c>
      <c r="CR16" s="399">
        <v>6538.0348005578999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3434.8237423624669</v>
      </c>
      <c r="DA16" s="399">
        <v>0</v>
      </c>
      <c r="DB16" s="399">
        <v>0</v>
      </c>
      <c r="DC16" s="399">
        <v>3403.6053780075927</v>
      </c>
      <c r="DD16" s="399">
        <v>0</v>
      </c>
      <c r="DE16" s="399">
        <v>0</v>
      </c>
      <c r="DF16" s="399">
        <v>0</v>
      </c>
      <c r="DG16" s="399">
        <v>13.417456843402675</v>
      </c>
      <c r="DH16" s="399">
        <v>0</v>
      </c>
      <c r="DI16" s="399">
        <v>-270.59504155560171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-37.58466511089614</v>
      </c>
      <c r="DP16" s="399">
        <v>-5.6320699890742816</v>
      </c>
      <c r="DQ16" s="399">
        <v>0</v>
      </c>
      <c r="DR16" s="399">
        <v>0</v>
      </c>
      <c r="DS16" s="399"/>
      <c r="DT16" s="399"/>
      <c r="DU16" s="399"/>
      <c r="DV16" s="399">
        <v>182947.64018332399</v>
      </c>
      <c r="DW16" s="399">
        <v>0</v>
      </c>
      <c r="DX16" s="399">
        <v>0</v>
      </c>
      <c r="DY16" s="399">
        <v>-77138.579730000027</v>
      </c>
      <c r="DZ16" s="399">
        <v>3403.6698599999982</v>
      </c>
      <c r="EA16" s="399">
        <v>0</v>
      </c>
      <c r="EB16" s="399">
        <v>0</v>
      </c>
      <c r="EC16" s="399">
        <v>-80272.358033013195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216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954</v>
      </c>
      <c r="C17" s="399" t="s">
        <v>2360</v>
      </c>
      <c r="D17" s="399" t="s">
        <v>533</v>
      </c>
      <c r="E17" s="399" t="s">
        <v>888</v>
      </c>
      <c r="F17" s="399" t="s">
        <v>1237</v>
      </c>
      <c r="G17" s="399" t="s">
        <v>1237</v>
      </c>
      <c r="H17" s="399" t="s">
        <v>1237</v>
      </c>
      <c r="I17" s="399" t="s">
        <v>2327</v>
      </c>
      <c r="J17" s="399" t="s">
        <v>2353</v>
      </c>
      <c r="K17" s="789">
        <v>44440</v>
      </c>
      <c r="L17" s="399">
        <v>0</v>
      </c>
      <c r="M17" s="399">
        <v>0</v>
      </c>
      <c r="N17" s="399">
        <v>1478.0909999999999</v>
      </c>
      <c r="O17" s="399">
        <v>1478.0909999999999</v>
      </c>
      <c r="P17" s="399">
        <v>1478.0909999999999</v>
      </c>
      <c r="Q17" s="399">
        <v>1478.0909999999999</v>
      </c>
      <c r="R17" s="399"/>
      <c r="S17" s="399">
        <v>64.11</v>
      </c>
      <c r="T17" s="399">
        <v>215.17</v>
      </c>
      <c r="U17" s="399"/>
      <c r="V17" s="399">
        <v>412801.25447999995</v>
      </c>
      <c r="W17" s="399">
        <v>412801.25447999995</v>
      </c>
      <c r="X17" s="399">
        <v>449428.34945999994</v>
      </c>
      <c r="Y17" s="399">
        <v>0</v>
      </c>
      <c r="Z17" s="399">
        <v>78553.649251362571</v>
      </c>
      <c r="AA17" s="399">
        <v>0</v>
      </c>
      <c r="AB17" s="399">
        <v>0</v>
      </c>
      <c r="AC17" s="399">
        <v>0</v>
      </c>
      <c r="AD17" s="399">
        <v>0</v>
      </c>
      <c r="AE17" s="399">
        <v>0</v>
      </c>
      <c r="AF17" s="399">
        <v>311525.32308644918</v>
      </c>
      <c r="AG17" s="399">
        <v>6513.9092495693076</v>
      </c>
      <c r="AH17" s="399">
        <v>0</v>
      </c>
      <c r="AI17" s="399">
        <v>0</v>
      </c>
      <c r="AJ17" s="399">
        <v>0</v>
      </c>
      <c r="AK17" s="399">
        <v>0</v>
      </c>
      <c r="AL17" s="399">
        <v>13952.360705841415</v>
      </c>
      <c r="AM17" s="399"/>
      <c r="AN17" s="399">
        <v>1019.6945493762412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1228.0735026297923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312753.396589079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449428.0454</v>
      </c>
      <c r="CJ17" s="399">
        <v>36626.760920000088</v>
      </c>
      <c r="CK17" s="399"/>
      <c r="CL17" s="399"/>
      <c r="CM17" s="399"/>
      <c r="CN17" s="399"/>
      <c r="CO17" s="399">
        <v>-3547.4183999999977</v>
      </c>
      <c r="CP17" s="399">
        <v>40174.513380000004</v>
      </c>
      <c r="CQ17" s="399">
        <v>30</v>
      </c>
      <c r="CR17" s="399">
        <v>36628.110041916952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0</v>
      </c>
      <c r="DA17" s="399">
        <v>0</v>
      </c>
      <c r="DB17" s="399">
        <v>0</v>
      </c>
      <c r="DC17" s="399">
        <v>40173.752280136221</v>
      </c>
      <c r="DD17" s="399">
        <v>0</v>
      </c>
      <c r="DE17" s="399">
        <v>0</v>
      </c>
      <c r="DF17" s="399">
        <v>0</v>
      </c>
      <c r="DG17" s="399">
        <v>158.37017738284794</v>
      </c>
      <c r="DH17" s="399">
        <v>0</v>
      </c>
      <c r="DI17" s="399">
        <v>-3193.9126192271797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-443.62282286111986</v>
      </c>
      <c r="DP17" s="399">
        <v>-66.476973513865119</v>
      </c>
      <c r="DQ17" s="399">
        <v>0</v>
      </c>
      <c r="DR17" s="399">
        <v>0</v>
      </c>
      <c r="DS17" s="399"/>
      <c r="DT17" s="399"/>
      <c r="DU17" s="399"/>
      <c r="DV17" s="399">
        <v>0</v>
      </c>
      <c r="DW17" s="399">
        <v>0</v>
      </c>
      <c r="DX17" s="399">
        <v>0</v>
      </c>
      <c r="DY17" s="399">
        <v>-3547.418399999995</v>
      </c>
      <c r="DZ17" s="399">
        <v>40174.513380000019</v>
      </c>
      <c r="EA17" s="399">
        <v>0</v>
      </c>
      <c r="EB17" s="399">
        <v>0</v>
      </c>
      <c r="EC17" s="399">
        <v>0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216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954</v>
      </c>
      <c r="C18" s="399" t="s">
        <v>2360</v>
      </c>
      <c r="D18" s="399" t="s">
        <v>533</v>
      </c>
      <c r="E18" s="399" t="s">
        <v>888</v>
      </c>
      <c r="F18" s="399" t="s">
        <v>1237</v>
      </c>
      <c r="G18" s="399" t="s">
        <v>1237</v>
      </c>
      <c r="H18" s="399" t="s">
        <v>1237</v>
      </c>
      <c r="I18" s="399" t="s">
        <v>1237</v>
      </c>
      <c r="J18" s="399" t="s">
        <v>2353</v>
      </c>
      <c r="K18" s="789">
        <v>44440</v>
      </c>
      <c r="L18" s="399">
        <v>5380</v>
      </c>
      <c r="M18" s="399">
        <v>5380</v>
      </c>
      <c r="N18" s="399">
        <v>0</v>
      </c>
      <c r="O18" s="399">
        <v>0</v>
      </c>
      <c r="P18" s="399">
        <v>0</v>
      </c>
      <c r="Q18" s="399">
        <v>0</v>
      </c>
      <c r="R18" s="399">
        <v>28.04</v>
      </c>
      <c r="S18" s="399"/>
      <c r="T18" s="399"/>
      <c r="U18" s="399">
        <v>150855.19999999998</v>
      </c>
      <c r="V18" s="399"/>
      <c r="W18" s="399">
        <v>150855.19999999998</v>
      </c>
      <c r="X18" s="399">
        <v>113302.79999999999</v>
      </c>
      <c r="Y18" s="399">
        <v>0</v>
      </c>
      <c r="Z18" s="399">
        <v>0</v>
      </c>
      <c r="AA18" s="399">
        <v>0</v>
      </c>
      <c r="AB18" s="399">
        <v>0</v>
      </c>
      <c r="AC18" s="399">
        <v>0</v>
      </c>
      <c r="AD18" s="399">
        <v>59560.244382433128</v>
      </c>
      <c r="AE18" s="399">
        <v>91321.733463540833</v>
      </c>
      <c r="AF18" s="399"/>
      <c r="AG18" s="399"/>
      <c r="AH18" s="399"/>
      <c r="AI18" s="399">
        <v>0</v>
      </c>
      <c r="AJ18" s="399">
        <v>0</v>
      </c>
      <c r="AK18" s="399">
        <v>0</v>
      </c>
      <c r="AL18" s="399">
        <v>0</v>
      </c>
      <c r="AM18" s="399"/>
      <c r="AN18" s="399">
        <v>0</v>
      </c>
      <c r="AO18" s="399">
        <v>0</v>
      </c>
      <c r="AP18" s="399">
        <v>0</v>
      </c>
      <c r="AQ18" s="399">
        <v>0</v>
      </c>
      <c r="AR18" s="399">
        <v>0</v>
      </c>
      <c r="AS18" s="399"/>
      <c r="AT18" s="399"/>
      <c r="AU18" s="399">
        <v>0</v>
      </c>
      <c r="AV18" s="399">
        <v>0</v>
      </c>
      <c r="AW18" s="399">
        <v>0</v>
      </c>
      <c r="AX18" s="399"/>
      <c r="AY18" s="399"/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/>
      <c r="BG18" s="399">
        <v>0</v>
      </c>
      <c r="BH18" s="399">
        <v>0</v>
      </c>
      <c r="BI18" s="399">
        <v>0</v>
      </c>
      <c r="BJ18" s="399">
        <v>0</v>
      </c>
      <c r="BK18" s="399">
        <v>329370.5</v>
      </c>
      <c r="BL18" s="399">
        <v>14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0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113302.79999999999</v>
      </c>
      <c r="CJ18" s="399">
        <v>-37552.430000000022</v>
      </c>
      <c r="CK18" s="399"/>
      <c r="CL18" s="399"/>
      <c r="CM18" s="399"/>
      <c r="CN18" s="399"/>
      <c r="CO18" s="399">
        <v>-37552.400000000001</v>
      </c>
      <c r="CP18" s="399">
        <v>0</v>
      </c>
      <c r="CQ18" s="399">
        <v>30</v>
      </c>
      <c r="CR18" s="399">
        <v>2479.0273310128832</v>
      </c>
      <c r="CS18" s="399">
        <v>0</v>
      </c>
      <c r="CT18" s="399">
        <v>0</v>
      </c>
      <c r="CU18" s="399">
        <v>0</v>
      </c>
      <c r="CV18" s="399">
        <v>0</v>
      </c>
      <c r="CW18" s="399"/>
      <c r="CX18" s="399"/>
      <c r="CY18" s="399"/>
      <c r="CZ18" s="399">
        <v>2479.0273310128832</v>
      </c>
      <c r="DA18" s="399">
        <v>0</v>
      </c>
      <c r="DB18" s="399">
        <v>0</v>
      </c>
      <c r="DC18" s="399"/>
      <c r="DD18" s="399"/>
      <c r="DE18" s="399">
        <v>0</v>
      </c>
      <c r="DF18" s="399">
        <v>0</v>
      </c>
      <c r="DG18" s="399">
        <v>0</v>
      </c>
      <c r="DH18" s="399">
        <v>0</v>
      </c>
      <c r="DI18" s="399">
        <v>0</v>
      </c>
      <c r="DJ18" s="399"/>
      <c r="DK18" s="399">
        <v>0</v>
      </c>
      <c r="DL18" s="399">
        <v>0</v>
      </c>
      <c r="DM18" s="399"/>
      <c r="DN18" s="399">
        <v>0</v>
      </c>
      <c r="DO18" s="399">
        <v>0</v>
      </c>
      <c r="DP18" s="399">
        <v>0</v>
      </c>
      <c r="DQ18" s="399">
        <v>0</v>
      </c>
      <c r="DR18" s="399">
        <v>0</v>
      </c>
      <c r="DS18" s="399"/>
      <c r="DT18" s="399"/>
      <c r="DU18" s="399">
        <v>91321.733463540833</v>
      </c>
      <c r="DV18" s="399"/>
      <c r="DW18" s="399">
        <v>0</v>
      </c>
      <c r="DX18" s="399">
        <v>0</v>
      </c>
      <c r="DY18" s="399">
        <v>-37552.399999999994</v>
      </c>
      <c r="DZ18" s="399"/>
      <c r="EA18" s="399">
        <v>0</v>
      </c>
      <c r="EB18" s="399"/>
      <c r="EC18" s="399">
        <v>-40069.447615913843</v>
      </c>
      <c r="ED18" s="399"/>
      <c r="EE18" s="399">
        <v>0</v>
      </c>
      <c r="EF18" s="399">
        <v>0</v>
      </c>
      <c r="EG18" s="399"/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/>
      <c r="EN18" s="399"/>
      <c r="EO18" s="399">
        <v>0</v>
      </c>
      <c r="EP18" s="399">
        <v>0</v>
      </c>
      <c r="EQ18" s="399"/>
      <c r="ER18" s="399">
        <v>0</v>
      </c>
      <c r="ES18" s="399"/>
      <c r="ET18" s="399">
        <v>0</v>
      </c>
      <c r="EU18" s="399"/>
      <c r="EV18" s="399">
        <v>216</v>
      </c>
      <c r="EW18" s="399"/>
      <c r="EX18" s="399"/>
      <c r="EY18" s="399"/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954</v>
      </c>
      <c r="C19" s="399" t="s">
        <v>2352</v>
      </c>
      <c r="D19" s="399" t="s">
        <v>1824</v>
      </c>
      <c r="E19" s="399" t="s">
        <v>916</v>
      </c>
      <c r="F19" s="399" t="s">
        <v>1237</v>
      </c>
      <c r="G19" s="399" t="s">
        <v>1237</v>
      </c>
      <c r="H19" s="399" t="s">
        <v>1237</v>
      </c>
      <c r="I19" s="399" t="s">
        <v>1237</v>
      </c>
      <c r="J19" s="399" t="s">
        <v>2353</v>
      </c>
      <c r="K19" s="789">
        <v>44440</v>
      </c>
      <c r="L19" s="399">
        <v>0</v>
      </c>
      <c r="M19" s="399">
        <v>0</v>
      </c>
      <c r="N19" s="399">
        <v>158.066</v>
      </c>
      <c r="O19" s="399">
        <v>158.066</v>
      </c>
      <c r="P19" s="399">
        <v>158.066</v>
      </c>
      <c r="Q19" s="399">
        <v>158.066</v>
      </c>
      <c r="R19" s="399"/>
      <c r="S19" s="399">
        <v>415.98</v>
      </c>
      <c r="T19" s="399">
        <v>215.17</v>
      </c>
      <c r="U19" s="399"/>
      <c r="V19" s="399">
        <v>99763.355899999995</v>
      </c>
      <c r="W19" s="399">
        <v>99763.355899999995</v>
      </c>
      <c r="X19" s="399">
        <v>86705.523639999999</v>
      </c>
      <c r="Y19" s="399">
        <v>0</v>
      </c>
      <c r="Z19" s="399">
        <v>9655.714214355794</v>
      </c>
      <c r="AA19" s="399">
        <v>0</v>
      </c>
      <c r="AB19" s="399">
        <v>0</v>
      </c>
      <c r="AC19" s="399">
        <v>0</v>
      </c>
      <c r="AD19" s="399">
        <v>14117.756058114521</v>
      </c>
      <c r="AE19" s="399">
        <v>39960.743196350617</v>
      </c>
      <c r="AF19" s="399">
        <v>33314.296426257031</v>
      </c>
      <c r="AG19" s="399">
        <v>696.59282103904445</v>
      </c>
      <c r="AH19" s="399">
        <v>0</v>
      </c>
      <c r="AI19" s="399">
        <v>0</v>
      </c>
      <c r="AJ19" s="399">
        <v>0</v>
      </c>
      <c r="AK19" s="399">
        <v>0</v>
      </c>
      <c r="AL19" s="399">
        <v>1492.0555279272585</v>
      </c>
      <c r="AM19" s="399"/>
      <c r="AN19" s="399">
        <v>186.10650989038825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340.14768550913726</v>
      </c>
      <c r="BH19" s="399">
        <v>0</v>
      </c>
      <c r="BI19" s="399">
        <v>0</v>
      </c>
      <c r="BJ19" s="399">
        <v>0</v>
      </c>
      <c r="BK19" s="399">
        <v>40546.379999999997</v>
      </c>
      <c r="BL19" s="399">
        <v>444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33654.44411176617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86707.717799999999</v>
      </c>
      <c r="CJ19" s="399">
        <v>-13055.668099999981</v>
      </c>
      <c r="CK19" s="399"/>
      <c r="CL19" s="399"/>
      <c r="CM19" s="399"/>
      <c r="CN19" s="399"/>
      <c r="CO19" s="399">
        <v>-17354.066140000003</v>
      </c>
      <c r="CP19" s="399">
        <v>4296.2338800000016</v>
      </c>
      <c r="CQ19" s="399">
        <v>30</v>
      </c>
      <c r="CR19" s="399">
        <v>4475.4639271302658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587.61181193146876</v>
      </c>
      <c r="DA19" s="399">
        <v>0</v>
      </c>
      <c r="DB19" s="399">
        <v>0</v>
      </c>
      <c r="DC19" s="399">
        <v>4296.1524885220279</v>
      </c>
      <c r="DD19" s="399">
        <v>0</v>
      </c>
      <c r="DE19" s="399">
        <v>0</v>
      </c>
      <c r="DF19" s="399">
        <v>0</v>
      </c>
      <c r="DG19" s="399">
        <v>43.864841294182554</v>
      </c>
      <c r="DH19" s="399">
        <v>0</v>
      </c>
      <c r="DI19" s="399">
        <v>-392.59165895909427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-47.440709075669929</v>
      </c>
      <c r="DP19" s="399">
        <v>-12.132846582644191</v>
      </c>
      <c r="DQ19" s="399">
        <v>0</v>
      </c>
      <c r="DR19" s="399">
        <v>0</v>
      </c>
      <c r="DS19" s="399"/>
      <c r="DT19" s="399"/>
      <c r="DU19" s="399"/>
      <c r="DV19" s="399">
        <v>39960.743196350617</v>
      </c>
      <c r="DW19" s="399">
        <v>0</v>
      </c>
      <c r="DX19" s="399">
        <v>0</v>
      </c>
      <c r="DY19" s="399">
        <v>-17354.066140000003</v>
      </c>
      <c r="DZ19" s="399">
        <v>4296.233880000007</v>
      </c>
      <c r="EA19" s="399">
        <v>0</v>
      </c>
      <c r="EB19" s="399">
        <v>0</v>
      </c>
      <c r="EC19" s="399">
        <v>-17533.667457576452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216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2355</v>
      </c>
      <c r="C20" s="399" t="s">
        <v>2352</v>
      </c>
      <c r="D20" s="399" t="s">
        <v>1824</v>
      </c>
      <c r="E20" s="399" t="s">
        <v>916</v>
      </c>
      <c r="F20" s="399" t="s">
        <v>1237</v>
      </c>
      <c r="G20" s="399" t="s">
        <v>1237</v>
      </c>
      <c r="H20" s="399" t="s">
        <v>1237</v>
      </c>
      <c r="I20" s="399" t="s">
        <v>1237</v>
      </c>
      <c r="J20" s="399" t="s">
        <v>2353</v>
      </c>
      <c r="K20" s="789">
        <v>44440</v>
      </c>
      <c r="L20" s="399">
        <v>0</v>
      </c>
      <c r="M20" s="399">
        <v>0</v>
      </c>
      <c r="N20" s="399">
        <v>14.866</v>
      </c>
      <c r="O20" s="399">
        <v>14.866</v>
      </c>
      <c r="P20" s="399">
        <v>14.866</v>
      </c>
      <c r="Q20" s="399">
        <v>14.866</v>
      </c>
      <c r="R20" s="399"/>
      <c r="S20" s="399">
        <v>415.98</v>
      </c>
      <c r="T20" s="399">
        <v>215.17</v>
      </c>
      <c r="U20" s="399"/>
      <c r="V20" s="399">
        <v>9382.6758999999984</v>
      </c>
      <c r="W20" s="399">
        <v>9382.6758999999984</v>
      </c>
      <c r="X20" s="399">
        <v>8154.5956399999995</v>
      </c>
      <c r="Y20" s="399">
        <v>0</v>
      </c>
      <c r="Z20" s="399">
        <v>908.11336726818695</v>
      </c>
      <c r="AA20" s="399">
        <v>0</v>
      </c>
      <c r="AB20" s="399">
        <v>0</v>
      </c>
      <c r="AC20" s="399">
        <v>0</v>
      </c>
      <c r="AD20" s="399">
        <v>1327.7653737042151</v>
      </c>
      <c r="AE20" s="399">
        <v>3758.2807710510056</v>
      </c>
      <c r="AF20" s="399">
        <v>3133.1869641335707</v>
      </c>
      <c r="AG20" s="399">
        <v>65.514081950365252</v>
      </c>
      <c r="AH20" s="399">
        <v>0</v>
      </c>
      <c r="AI20" s="399">
        <v>0</v>
      </c>
      <c r="AJ20" s="399">
        <v>0</v>
      </c>
      <c r="AK20" s="399">
        <v>0</v>
      </c>
      <c r="AL20" s="399">
        <v>140.32680954896449</v>
      </c>
      <c r="AM20" s="399"/>
      <c r="AN20" s="399">
        <v>17.503190920441536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31.990658919557873</v>
      </c>
      <c r="BH20" s="399">
        <v>0</v>
      </c>
      <c r="BI20" s="399">
        <v>0</v>
      </c>
      <c r="BJ20" s="399">
        <v>0</v>
      </c>
      <c r="BK20" s="399">
        <v>4876.5600000000004</v>
      </c>
      <c r="BL20" s="399">
        <v>8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3165.1776230531286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8156.7897999999996</v>
      </c>
      <c r="CJ20" s="399">
        <v>-1225.9160999999995</v>
      </c>
      <c r="CK20" s="399"/>
      <c r="CL20" s="399"/>
      <c r="CM20" s="399"/>
      <c r="CN20" s="399"/>
      <c r="CO20" s="399">
        <v>-1632.1381400000002</v>
      </c>
      <c r="CP20" s="399">
        <v>404.05788000000007</v>
      </c>
      <c r="CQ20" s="399">
        <v>30</v>
      </c>
      <c r="CR20" s="399">
        <v>420.91434426580327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55.264492023415642</v>
      </c>
      <c r="DA20" s="399">
        <v>0</v>
      </c>
      <c r="DB20" s="399">
        <v>0</v>
      </c>
      <c r="DC20" s="399">
        <v>404.05022518674787</v>
      </c>
      <c r="DD20" s="399">
        <v>0</v>
      </c>
      <c r="DE20" s="399">
        <v>0</v>
      </c>
      <c r="DF20" s="399">
        <v>0</v>
      </c>
      <c r="DG20" s="399">
        <v>4.1254585469317675</v>
      </c>
      <c r="DH20" s="399">
        <v>0</v>
      </c>
      <c r="DI20" s="399">
        <v>-36.92297902196492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-4.4617664843730154</v>
      </c>
      <c r="DP20" s="399">
        <v>-1.141085984953051</v>
      </c>
      <c r="DQ20" s="399">
        <v>0</v>
      </c>
      <c r="DR20" s="399">
        <v>0</v>
      </c>
      <c r="DS20" s="399"/>
      <c r="DT20" s="399"/>
      <c r="DU20" s="399"/>
      <c r="DV20" s="399">
        <v>3758.2807710510056</v>
      </c>
      <c r="DW20" s="399">
        <v>0</v>
      </c>
      <c r="DX20" s="399">
        <v>0</v>
      </c>
      <c r="DY20" s="399">
        <v>-1632.13814</v>
      </c>
      <c r="DZ20" s="399">
        <v>404.0578800000003</v>
      </c>
      <c r="EA20" s="399">
        <v>0</v>
      </c>
      <c r="EB20" s="399">
        <v>0</v>
      </c>
      <c r="EC20" s="399">
        <v>-1649.0295219992377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216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954</v>
      </c>
      <c r="C21" s="399" t="s">
        <v>2360</v>
      </c>
      <c r="D21" s="399" t="s">
        <v>533</v>
      </c>
      <c r="E21" s="399" t="s">
        <v>916</v>
      </c>
      <c r="F21" s="399" t="s">
        <v>1237</v>
      </c>
      <c r="G21" s="399" t="s">
        <v>1237</v>
      </c>
      <c r="H21" s="399" t="s">
        <v>1237</v>
      </c>
      <c r="I21" s="399" t="s">
        <v>891</v>
      </c>
      <c r="J21" s="399" t="s">
        <v>2353</v>
      </c>
      <c r="K21" s="789">
        <v>44440</v>
      </c>
      <c r="L21" s="399">
        <v>0</v>
      </c>
      <c r="M21" s="399">
        <v>0</v>
      </c>
      <c r="N21" s="399">
        <v>2.3650000000000002</v>
      </c>
      <c r="O21" s="399">
        <v>2.3650000000000002</v>
      </c>
      <c r="P21" s="399">
        <v>2.3650000000000002</v>
      </c>
      <c r="Q21" s="399">
        <v>2.3650000000000002</v>
      </c>
      <c r="R21" s="399"/>
      <c r="S21" s="399">
        <v>2184.0300000000002</v>
      </c>
      <c r="T21" s="399">
        <v>215.17</v>
      </c>
      <c r="U21" s="399"/>
      <c r="V21" s="399">
        <v>5674.1080000000011</v>
      </c>
      <c r="W21" s="399">
        <v>5674.1080000000011</v>
      </c>
      <c r="X21" s="399">
        <v>4281.5723500000004</v>
      </c>
      <c r="Y21" s="399">
        <v>0</v>
      </c>
      <c r="Z21" s="399">
        <v>125.68872990869473</v>
      </c>
      <c r="AA21" s="399">
        <v>0</v>
      </c>
      <c r="AB21" s="399">
        <v>0</v>
      </c>
      <c r="AC21" s="399">
        <v>0</v>
      </c>
      <c r="AD21" s="399">
        <v>1558.5214394521811</v>
      </c>
      <c r="AE21" s="399">
        <v>3455.0948999302173</v>
      </c>
      <c r="AF21" s="399">
        <v>498.45198238772332</v>
      </c>
      <c r="AG21" s="399">
        <v>10.422494538720157</v>
      </c>
      <c r="AH21" s="399">
        <v>0</v>
      </c>
      <c r="AI21" s="399">
        <v>0</v>
      </c>
      <c r="AJ21" s="399">
        <v>0</v>
      </c>
      <c r="AK21" s="399">
        <v>0</v>
      </c>
      <c r="AL21" s="399">
        <v>22.32429063522811</v>
      </c>
      <c r="AM21" s="399"/>
      <c r="AN21" s="399">
        <v>1.6315488080739351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1.9649628025063812</v>
      </c>
      <c r="BH21" s="399">
        <v>0</v>
      </c>
      <c r="BI21" s="399">
        <v>0</v>
      </c>
      <c r="BJ21" s="399">
        <v>0</v>
      </c>
      <c r="BK21" s="399">
        <v>0</v>
      </c>
      <c r="BL21" s="399">
        <v>0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500.41694519022968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4290.6243000000004</v>
      </c>
      <c r="CJ21" s="399">
        <v>-1383.5137000000013</v>
      </c>
      <c r="CK21" s="399"/>
      <c r="CL21" s="399"/>
      <c r="CM21" s="399"/>
      <c r="CN21" s="399"/>
      <c r="CO21" s="399">
        <v>-1456.8163500000007</v>
      </c>
      <c r="CP21" s="399">
        <v>64.280700000000024</v>
      </c>
      <c r="CQ21" s="399">
        <v>30</v>
      </c>
      <c r="CR21" s="399">
        <v>123.47538712353889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64.869062987113239</v>
      </c>
      <c r="DA21" s="399">
        <v>0</v>
      </c>
      <c r="DB21" s="399">
        <v>0</v>
      </c>
      <c r="DC21" s="399">
        <v>64.27948221220629</v>
      </c>
      <c r="DD21" s="399">
        <v>0</v>
      </c>
      <c r="DE21" s="399">
        <v>0</v>
      </c>
      <c r="DF21" s="399">
        <v>0</v>
      </c>
      <c r="DG21" s="399">
        <v>0.25339811250486965</v>
      </c>
      <c r="DH21" s="399">
        <v>0</v>
      </c>
      <c r="DI21" s="399">
        <v>-5.1103777402556858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-0.70981284377386089</v>
      </c>
      <c r="DP21" s="399">
        <v>-0.10636560425595643</v>
      </c>
      <c r="DQ21" s="399">
        <v>0</v>
      </c>
      <c r="DR21" s="399">
        <v>0</v>
      </c>
      <c r="DS21" s="399"/>
      <c r="DT21" s="399"/>
      <c r="DU21" s="399"/>
      <c r="DV21" s="399">
        <v>3455.0948999302173</v>
      </c>
      <c r="DW21" s="399">
        <v>0</v>
      </c>
      <c r="DX21" s="399">
        <v>0</v>
      </c>
      <c r="DY21" s="399">
        <v>-1456.816350000001</v>
      </c>
      <c r="DZ21" s="399">
        <v>64.280700000000081</v>
      </c>
      <c r="EA21" s="399">
        <v>0</v>
      </c>
      <c r="EB21" s="399">
        <v>0</v>
      </c>
      <c r="EC21" s="399">
        <v>-1515.9999580607716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216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954</v>
      </c>
      <c r="C22" s="399" t="s">
        <v>2360</v>
      </c>
      <c r="D22" s="399" t="s">
        <v>533</v>
      </c>
      <c r="E22" s="399" t="s">
        <v>916</v>
      </c>
      <c r="F22" s="399" t="s">
        <v>1237</v>
      </c>
      <c r="G22" s="399" t="s">
        <v>1237</v>
      </c>
      <c r="H22" s="399" t="s">
        <v>1237</v>
      </c>
      <c r="I22" s="399" t="s">
        <v>2327</v>
      </c>
      <c r="J22" s="399" t="s">
        <v>2353</v>
      </c>
      <c r="K22" s="789">
        <v>44440</v>
      </c>
      <c r="L22" s="399">
        <v>0</v>
      </c>
      <c r="M22" s="399">
        <v>0</v>
      </c>
      <c r="N22" s="399">
        <v>25.719000000000001</v>
      </c>
      <c r="O22" s="399">
        <v>25.719000000000001</v>
      </c>
      <c r="P22" s="399">
        <v>25.719000000000001</v>
      </c>
      <c r="Q22" s="399">
        <v>25.719000000000001</v>
      </c>
      <c r="R22" s="399"/>
      <c r="S22" s="399">
        <v>64.11</v>
      </c>
      <c r="T22" s="399">
        <v>215.17</v>
      </c>
      <c r="U22" s="399"/>
      <c r="V22" s="399">
        <v>7182.8023199999998</v>
      </c>
      <c r="W22" s="399">
        <v>7182.8023199999998</v>
      </c>
      <c r="X22" s="399">
        <v>7820.1191399999998</v>
      </c>
      <c r="Y22" s="399">
        <v>0</v>
      </c>
      <c r="Z22" s="399">
        <v>1366.8450082544268</v>
      </c>
      <c r="AA22" s="399">
        <v>0</v>
      </c>
      <c r="AB22" s="399">
        <v>0</v>
      </c>
      <c r="AC22" s="399">
        <v>0</v>
      </c>
      <c r="AD22" s="399">
        <v>0</v>
      </c>
      <c r="AE22" s="399">
        <v>0</v>
      </c>
      <c r="AF22" s="399">
        <v>5420.5862727398971</v>
      </c>
      <c r="AG22" s="399">
        <v>113.34297549316858</v>
      </c>
      <c r="AH22" s="399">
        <v>0</v>
      </c>
      <c r="AI22" s="399">
        <v>0</v>
      </c>
      <c r="AJ22" s="399">
        <v>0</v>
      </c>
      <c r="AK22" s="399">
        <v>0</v>
      </c>
      <c r="AL22" s="399">
        <v>242.77312086572167</v>
      </c>
      <c r="AM22" s="399"/>
      <c r="AN22" s="399">
        <v>17.742834585561749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21.368658908102162</v>
      </c>
      <c r="BH22" s="399">
        <v>0</v>
      </c>
      <c r="BI22" s="399">
        <v>0</v>
      </c>
      <c r="BJ22" s="399">
        <v>0</v>
      </c>
      <c r="BK22" s="399">
        <v>0</v>
      </c>
      <c r="BL22" s="399">
        <v>0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5441.9549316479997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7820.4231999999993</v>
      </c>
      <c r="CJ22" s="399">
        <v>637.59087999999883</v>
      </c>
      <c r="CK22" s="399"/>
      <c r="CL22" s="399"/>
      <c r="CM22" s="399"/>
      <c r="CN22" s="399"/>
      <c r="CO22" s="399">
        <v>-61.725599999999964</v>
      </c>
      <c r="CP22" s="399">
        <v>699.04242000000022</v>
      </c>
      <c r="CQ22" s="399">
        <v>30</v>
      </c>
      <c r="CR22" s="399">
        <v>637.3344822261015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0</v>
      </c>
      <c r="DA22" s="399">
        <v>0</v>
      </c>
      <c r="DB22" s="399">
        <v>0</v>
      </c>
      <c r="DC22" s="399">
        <v>699.02917675083791</v>
      </c>
      <c r="DD22" s="399">
        <v>0</v>
      </c>
      <c r="DE22" s="399">
        <v>0</v>
      </c>
      <c r="DF22" s="399">
        <v>0</v>
      </c>
      <c r="DG22" s="399">
        <v>2.7556642940857294</v>
      </c>
      <c r="DH22" s="399">
        <v>0</v>
      </c>
      <c r="DI22" s="399">
        <v>-55.574547611685375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-7.7191021264354731</v>
      </c>
      <c r="DP22" s="399">
        <v>-1.1567090807014573</v>
      </c>
      <c r="DQ22" s="399">
        <v>0</v>
      </c>
      <c r="DR22" s="399">
        <v>0</v>
      </c>
      <c r="DS22" s="399"/>
      <c r="DT22" s="399"/>
      <c r="DU22" s="399"/>
      <c r="DV22" s="399">
        <v>0</v>
      </c>
      <c r="DW22" s="399">
        <v>0</v>
      </c>
      <c r="DX22" s="399">
        <v>0</v>
      </c>
      <c r="DY22" s="399">
        <v>-61.725599999999986</v>
      </c>
      <c r="DZ22" s="399">
        <v>699.04241999999977</v>
      </c>
      <c r="EA22" s="399">
        <v>0</v>
      </c>
      <c r="EB22" s="399">
        <v>0</v>
      </c>
      <c r="EC22" s="399">
        <v>0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216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954</v>
      </c>
      <c r="C23" s="399" t="s">
        <v>2360</v>
      </c>
      <c r="D23" s="399" t="s">
        <v>533</v>
      </c>
      <c r="E23" s="399" t="s">
        <v>916</v>
      </c>
      <c r="F23" s="399" t="s">
        <v>1237</v>
      </c>
      <c r="G23" s="399" t="s">
        <v>1237</v>
      </c>
      <c r="H23" s="399" t="s">
        <v>1237</v>
      </c>
      <c r="I23" s="399" t="s">
        <v>1237</v>
      </c>
      <c r="J23" s="399" t="s">
        <v>2353</v>
      </c>
      <c r="K23" s="789">
        <v>44440</v>
      </c>
      <c r="L23" s="399">
        <v>98</v>
      </c>
      <c r="M23" s="399">
        <v>98</v>
      </c>
      <c r="N23" s="399">
        <v>0</v>
      </c>
      <c r="O23" s="399">
        <v>0</v>
      </c>
      <c r="P23" s="399">
        <v>0</v>
      </c>
      <c r="Q23" s="399">
        <v>0</v>
      </c>
      <c r="R23" s="399">
        <v>28.04</v>
      </c>
      <c r="S23" s="399"/>
      <c r="T23" s="399"/>
      <c r="U23" s="399">
        <v>2747.92</v>
      </c>
      <c r="V23" s="399"/>
      <c r="W23" s="399">
        <v>2747.92</v>
      </c>
      <c r="X23" s="399">
        <v>2063.8799999999997</v>
      </c>
      <c r="Y23" s="399">
        <v>0</v>
      </c>
      <c r="Z23" s="399">
        <v>0</v>
      </c>
      <c r="AA23" s="399">
        <v>0</v>
      </c>
      <c r="AB23" s="399">
        <v>0</v>
      </c>
      <c r="AC23" s="399">
        <v>0</v>
      </c>
      <c r="AD23" s="399">
        <v>1084.9263846614213</v>
      </c>
      <c r="AE23" s="399">
        <v>1663.4813902280673</v>
      </c>
      <c r="AF23" s="399"/>
      <c r="AG23" s="399"/>
      <c r="AH23" s="399"/>
      <c r="AI23" s="399">
        <v>0</v>
      </c>
      <c r="AJ23" s="399">
        <v>0</v>
      </c>
      <c r="AK23" s="399">
        <v>0</v>
      </c>
      <c r="AL23" s="399">
        <v>0</v>
      </c>
      <c r="AM23" s="399"/>
      <c r="AN23" s="399">
        <v>0</v>
      </c>
      <c r="AO23" s="399">
        <v>0</v>
      </c>
      <c r="AP23" s="399">
        <v>0</v>
      </c>
      <c r="AQ23" s="399">
        <v>0</v>
      </c>
      <c r="AR23" s="399">
        <v>0</v>
      </c>
      <c r="AS23" s="399"/>
      <c r="AT23" s="399"/>
      <c r="AU23" s="399">
        <v>0</v>
      </c>
      <c r="AV23" s="399">
        <v>0</v>
      </c>
      <c r="AW23" s="399">
        <v>0</v>
      </c>
      <c r="AX23" s="399"/>
      <c r="AY23" s="399"/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/>
      <c r="BG23" s="399">
        <v>0</v>
      </c>
      <c r="BH23" s="399">
        <v>0</v>
      </c>
      <c r="BI23" s="399">
        <v>0</v>
      </c>
      <c r="BJ23" s="399">
        <v>0</v>
      </c>
      <c r="BK23" s="399">
        <v>5875.89</v>
      </c>
      <c r="BL23" s="399">
        <v>1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0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2063.8799999999997</v>
      </c>
      <c r="CJ23" s="399">
        <v>-684.07000000000107</v>
      </c>
      <c r="CK23" s="399"/>
      <c r="CL23" s="399"/>
      <c r="CM23" s="399"/>
      <c r="CN23" s="399"/>
      <c r="CO23" s="399">
        <v>-684.04000000000008</v>
      </c>
      <c r="CP23" s="399">
        <v>0</v>
      </c>
      <c r="CQ23" s="399">
        <v>30</v>
      </c>
      <c r="CR23" s="399">
        <v>45.157003427372274</v>
      </c>
      <c r="CS23" s="399">
        <v>0</v>
      </c>
      <c r="CT23" s="399">
        <v>0</v>
      </c>
      <c r="CU23" s="399">
        <v>0</v>
      </c>
      <c r="CV23" s="399">
        <v>0</v>
      </c>
      <c r="CW23" s="399"/>
      <c r="CX23" s="399"/>
      <c r="CY23" s="399"/>
      <c r="CZ23" s="399">
        <v>45.157003427372274</v>
      </c>
      <c r="DA23" s="399">
        <v>0</v>
      </c>
      <c r="DB23" s="399">
        <v>0</v>
      </c>
      <c r="DC23" s="399"/>
      <c r="DD23" s="399"/>
      <c r="DE23" s="399">
        <v>0</v>
      </c>
      <c r="DF23" s="399">
        <v>0</v>
      </c>
      <c r="DG23" s="399">
        <v>0</v>
      </c>
      <c r="DH23" s="399">
        <v>0</v>
      </c>
      <c r="DI23" s="399">
        <v>0</v>
      </c>
      <c r="DJ23" s="399"/>
      <c r="DK23" s="399">
        <v>0</v>
      </c>
      <c r="DL23" s="399">
        <v>0</v>
      </c>
      <c r="DM23" s="399"/>
      <c r="DN23" s="399">
        <v>0</v>
      </c>
      <c r="DO23" s="399">
        <v>0</v>
      </c>
      <c r="DP23" s="399">
        <v>0</v>
      </c>
      <c r="DQ23" s="399">
        <v>0</v>
      </c>
      <c r="DR23" s="399">
        <v>0</v>
      </c>
      <c r="DS23" s="399"/>
      <c r="DT23" s="399"/>
      <c r="DU23" s="399">
        <v>1663.4813902280673</v>
      </c>
      <c r="DV23" s="399"/>
      <c r="DW23" s="399">
        <v>0</v>
      </c>
      <c r="DX23" s="399">
        <v>0</v>
      </c>
      <c r="DY23" s="399">
        <v>-684.04000000000042</v>
      </c>
      <c r="DZ23" s="399"/>
      <c r="EA23" s="399">
        <v>0</v>
      </c>
      <c r="EB23" s="399"/>
      <c r="EC23" s="399">
        <v>-729.88956623783588</v>
      </c>
      <c r="ED23" s="399"/>
      <c r="EE23" s="399">
        <v>0</v>
      </c>
      <c r="EF23" s="399">
        <v>0</v>
      </c>
      <c r="EG23" s="399"/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/>
      <c r="EN23" s="399"/>
      <c r="EO23" s="399">
        <v>0</v>
      </c>
      <c r="EP23" s="399">
        <v>0</v>
      </c>
      <c r="EQ23" s="399"/>
      <c r="ER23" s="399">
        <v>0</v>
      </c>
      <c r="ES23" s="399"/>
      <c r="ET23" s="399">
        <v>0</v>
      </c>
      <c r="EU23" s="399"/>
      <c r="EV23" s="399">
        <v>216</v>
      </c>
      <c r="EW23" s="399"/>
      <c r="EX23" s="399"/>
      <c r="EY23" s="399"/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954</v>
      </c>
      <c r="C24" s="399" t="s">
        <v>2361</v>
      </c>
      <c r="D24" s="399" t="s">
        <v>1824</v>
      </c>
      <c r="E24" s="399" t="s">
        <v>916</v>
      </c>
      <c r="F24" s="399" t="s">
        <v>1237</v>
      </c>
      <c r="G24" s="399" t="s">
        <v>1237</v>
      </c>
      <c r="H24" s="399" t="s">
        <v>1237</v>
      </c>
      <c r="I24" s="399" t="s">
        <v>891</v>
      </c>
      <c r="J24" s="399" t="s">
        <v>2353</v>
      </c>
      <c r="K24" s="789">
        <v>44440</v>
      </c>
      <c r="L24" s="399">
        <v>0</v>
      </c>
      <c r="M24" s="399">
        <v>0</v>
      </c>
      <c r="N24" s="399">
        <v>0.05</v>
      </c>
      <c r="O24" s="399">
        <v>0.05</v>
      </c>
      <c r="P24" s="399">
        <v>0.05</v>
      </c>
      <c r="Q24" s="399">
        <v>0.05</v>
      </c>
      <c r="R24" s="399"/>
      <c r="S24" s="399">
        <v>1254.27</v>
      </c>
      <c r="T24" s="399">
        <v>215.17</v>
      </c>
      <c r="U24" s="399"/>
      <c r="V24" s="399">
        <v>73.472000000000008</v>
      </c>
      <c r="W24" s="399">
        <v>73.472000000000008</v>
      </c>
      <c r="X24" s="399">
        <v>56.208500000000008</v>
      </c>
      <c r="Y24" s="399">
        <v>0</v>
      </c>
      <c r="Z24" s="399">
        <v>3.0543299047093604</v>
      </c>
      <c r="AA24" s="399">
        <v>0</v>
      </c>
      <c r="AB24" s="399">
        <v>0</v>
      </c>
      <c r="AC24" s="399">
        <v>0</v>
      </c>
      <c r="AD24" s="399">
        <v>15.410789918114901</v>
      </c>
      <c r="AE24" s="399">
        <v>43.609797018286855</v>
      </c>
      <c r="AF24" s="399">
        <v>10.538096879233052</v>
      </c>
      <c r="AG24" s="399">
        <v>0.22034872174884051</v>
      </c>
      <c r="AH24" s="399">
        <v>0</v>
      </c>
      <c r="AI24" s="399">
        <v>0</v>
      </c>
      <c r="AJ24" s="399">
        <v>0</v>
      </c>
      <c r="AK24" s="399">
        <v>0</v>
      </c>
      <c r="AL24" s="399">
        <v>0.47197231786951604</v>
      </c>
      <c r="AM24" s="399"/>
      <c r="AN24" s="399">
        <v>5.8869873942020506E-2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0.107596727161166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10.645693606394218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56.208500000000008</v>
      </c>
      <c r="CJ24" s="399">
        <v>-17.293500000000002</v>
      </c>
      <c r="CK24" s="399"/>
      <c r="CL24" s="399"/>
      <c r="CM24" s="399"/>
      <c r="CN24" s="399"/>
      <c r="CO24" s="399">
        <v>-18.622499999999999</v>
      </c>
      <c r="CP24" s="399">
        <v>1.3590000000000004</v>
      </c>
      <c r="CQ24" s="399">
        <v>30</v>
      </c>
      <c r="CR24" s="399">
        <v>1.871249928463353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0.64143070257075152</v>
      </c>
      <c r="DA24" s="399">
        <v>0</v>
      </c>
      <c r="DB24" s="399">
        <v>0</v>
      </c>
      <c r="DC24" s="399">
        <v>1.3589742539578484</v>
      </c>
      <c r="DD24" s="399">
        <v>0</v>
      </c>
      <c r="DE24" s="399">
        <v>0</v>
      </c>
      <c r="DF24" s="399">
        <v>0</v>
      </c>
      <c r="DG24" s="399">
        <v>1.3875482802811007E-2</v>
      </c>
      <c r="DH24" s="399">
        <v>0</v>
      </c>
      <c r="DI24" s="399">
        <v>-0.12418599159816024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-1.5006614033274024E-2</v>
      </c>
      <c r="DP24" s="399">
        <v>-3.8379052366240077E-3</v>
      </c>
      <c r="DQ24" s="399">
        <v>0</v>
      </c>
      <c r="DR24" s="399">
        <v>0</v>
      </c>
      <c r="DS24" s="399"/>
      <c r="DT24" s="399"/>
      <c r="DU24" s="399"/>
      <c r="DV24" s="399">
        <v>43.609797018286855</v>
      </c>
      <c r="DW24" s="399">
        <v>0</v>
      </c>
      <c r="DX24" s="399">
        <v>0</v>
      </c>
      <c r="DY24" s="399">
        <v>-18.622499999999995</v>
      </c>
      <c r="DZ24" s="399">
        <v>1.359</v>
      </c>
      <c r="EA24" s="399">
        <v>0</v>
      </c>
      <c r="EB24" s="399">
        <v>0</v>
      </c>
      <c r="EC24" s="399">
        <v>-19.134771219191954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216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954</v>
      </c>
      <c r="C25" s="399" t="s">
        <v>2361</v>
      </c>
      <c r="D25" s="399" t="s">
        <v>1824</v>
      </c>
      <c r="E25" s="399" t="s">
        <v>916</v>
      </c>
      <c r="F25" s="399" t="s">
        <v>1237</v>
      </c>
      <c r="G25" s="399" t="s">
        <v>1237</v>
      </c>
      <c r="H25" s="399" t="s">
        <v>1237</v>
      </c>
      <c r="I25" s="399" t="s">
        <v>2327</v>
      </c>
      <c r="J25" s="399" t="s">
        <v>2353</v>
      </c>
      <c r="K25" s="789">
        <v>44440</v>
      </c>
      <c r="L25" s="399">
        <v>0</v>
      </c>
      <c r="M25" s="399">
        <v>0</v>
      </c>
      <c r="N25" s="399">
        <v>0.54100000000000004</v>
      </c>
      <c r="O25" s="399">
        <v>0.54100000000000004</v>
      </c>
      <c r="P25" s="399">
        <v>0.54100000000000004</v>
      </c>
      <c r="Q25" s="399">
        <v>0.54100000000000004</v>
      </c>
      <c r="R25" s="399"/>
      <c r="S25" s="399">
        <v>309.91000000000003</v>
      </c>
      <c r="T25" s="399">
        <v>215.17</v>
      </c>
      <c r="U25" s="399"/>
      <c r="V25" s="399">
        <v>284.06828000000002</v>
      </c>
      <c r="W25" s="399">
        <v>284.06828000000002</v>
      </c>
      <c r="X25" s="399">
        <v>257.3537</v>
      </c>
      <c r="Y25" s="399">
        <v>0</v>
      </c>
      <c r="Z25" s="399">
        <v>33.047849568955279</v>
      </c>
      <c r="AA25" s="399">
        <v>0</v>
      </c>
      <c r="AB25" s="399">
        <v>0</v>
      </c>
      <c r="AC25" s="399">
        <v>0</v>
      </c>
      <c r="AD25" s="399">
        <v>33.334618689056903</v>
      </c>
      <c r="AE25" s="399">
        <v>94.371690216118367</v>
      </c>
      <c r="AF25" s="399">
        <v>114.02220823330161</v>
      </c>
      <c r="AG25" s="399">
        <v>2.3841731693224544</v>
      </c>
      <c r="AH25" s="399">
        <v>0</v>
      </c>
      <c r="AI25" s="399">
        <v>0</v>
      </c>
      <c r="AJ25" s="399">
        <v>0</v>
      </c>
      <c r="AK25" s="399">
        <v>0</v>
      </c>
      <c r="AL25" s="399">
        <v>5.1067404793481632</v>
      </c>
      <c r="AM25" s="399"/>
      <c r="AN25" s="399">
        <v>0.63697203605266184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1.1641965878838161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115.18640482118543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256.87799999999999</v>
      </c>
      <c r="CJ25" s="399">
        <v>-27.220280000000002</v>
      </c>
      <c r="CK25" s="399"/>
      <c r="CL25" s="399"/>
      <c r="CM25" s="399"/>
      <c r="CN25" s="399"/>
      <c r="CO25" s="399">
        <v>-41.41896000000002</v>
      </c>
      <c r="CP25" s="399">
        <v>14.704380000000004</v>
      </c>
      <c r="CQ25" s="399">
        <v>30</v>
      </c>
      <c r="CR25" s="399">
        <v>14.694103589778052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1.3874595656200555</v>
      </c>
      <c r="DA25" s="399">
        <v>0</v>
      </c>
      <c r="DB25" s="399">
        <v>0</v>
      </c>
      <c r="DC25" s="399">
        <v>14.704101427823943</v>
      </c>
      <c r="DD25" s="399">
        <v>0</v>
      </c>
      <c r="DE25" s="399">
        <v>0</v>
      </c>
      <c r="DF25" s="399">
        <v>0</v>
      </c>
      <c r="DG25" s="399">
        <v>0.15013272392641519</v>
      </c>
      <c r="DH25" s="399">
        <v>0</v>
      </c>
      <c r="DI25" s="399">
        <v>-1.3436924290920906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-0.16237156384002382</v>
      </c>
      <c r="DP25" s="399">
        <v>-4.1526134660271774E-2</v>
      </c>
      <c r="DQ25" s="399">
        <v>0</v>
      </c>
      <c r="DR25" s="399">
        <v>0</v>
      </c>
      <c r="DS25" s="399"/>
      <c r="DT25" s="399"/>
      <c r="DU25" s="399"/>
      <c r="DV25" s="399">
        <v>94.371690216118367</v>
      </c>
      <c r="DW25" s="399">
        <v>0</v>
      </c>
      <c r="DX25" s="399">
        <v>0</v>
      </c>
      <c r="DY25" s="399">
        <v>-41.418960000000013</v>
      </c>
      <c r="DZ25" s="399">
        <v>14.704380000000015</v>
      </c>
      <c r="EA25" s="399">
        <v>0</v>
      </c>
      <c r="EB25" s="399">
        <v>0</v>
      </c>
      <c r="EC25" s="399">
        <v>-41.4076841746515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216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954</v>
      </c>
      <c r="C26" s="399" t="s">
        <v>2361</v>
      </c>
      <c r="D26" s="399" t="s">
        <v>1824</v>
      </c>
      <c r="E26" s="399" t="s">
        <v>916</v>
      </c>
      <c r="F26" s="399" t="s">
        <v>1237</v>
      </c>
      <c r="G26" s="399" t="s">
        <v>1237</v>
      </c>
      <c r="H26" s="399" t="s">
        <v>1237</v>
      </c>
      <c r="I26" s="399" t="s">
        <v>1237</v>
      </c>
      <c r="J26" s="399" t="s">
        <v>2353</v>
      </c>
      <c r="K26" s="789">
        <v>44440</v>
      </c>
      <c r="L26" s="399">
        <v>0</v>
      </c>
      <c r="M26" s="399">
        <v>0</v>
      </c>
      <c r="N26" s="399">
        <v>0</v>
      </c>
      <c r="O26" s="399">
        <v>0</v>
      </c>
      <c r="P26" s="399">
        <v>0</v>
      </c>
      <c r="Q26" s="399">
        <v>0</v>
      </c>
      <c r="R26" s="399"/>
      <c r="S26" s="399"/>
      <c r="T26" s="399"/>
      <c r="U26" s="399"/>
      <c r="V26" s="399"/>
      <c r="W26" s="399"/>
      <c r="X26" s="399"/>
      <c r="Y26" s="399"/>
      <c r="Z26" s="399"/>
      <c r="AA26" s="399">
        <v>0</v>
      </c>
      <c r="AB26" s="399"/>
      <c r="AC26" s="399"/>
      <c r="AD26" s="399"/>
      <c r="AE26" s="399"/>
      <c r="AF26" s="399"/>
      <c r="AG26" s="399"/>
      <c r="AH26" s="399"/>
      <c r="AI26" s="399"/>
      <c r="AJ26" s="399"/>
      <c r="AK26" s="399"/>
      <c r="AL26" s="399"/>
      <c r="AM26" s="399"/>
      <c r="AN26" s="399"/>
      <c r="AO26" s="399"/>
      <c r="AP26" s="399"/>
      <c r="AQ26" s="399"/>
      <c r="AR26" s="399"/>
      <c r="AS26" s="399"/>
      <c r="AT26" s="399"/>
      <c r="AU26" s="399"/>
      <c r="AV26" s="399"/>
      <c r="AW26" s="399"/>
      <c r="AX26" s="399"/>
      <c r="AY26" s="399"/>
      <c r="AZ26" s="399">
        <v>0</v>
      </c>
      <c r="BA26" s="399"/>
      <c r="BB26" s="399"/>
      <c r="BC26" s="399"/>
      <c r="BD26" s="399"/>
      <c r="BE26" s="399"/>
      <c r="BF26" s="399"/>
      <c r="BG26" s="399"/>
      <c r="BH26" s="399"/>
      <c r="BI26" s="399">
        <v>0</v>
      </c>
      <c r="BJ26" s="399">
        <v>0</v>
      </c>
      <c r="BK26" s="399">
        <v>159.77000000000001</v>
      </c>
      <c r="BL26" s="399">
        <v>1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/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/>
      <c r="CJ26" s="399">
        <v>-0.03</v>
      </c>
      <c r="CK26" s="399"/>
      <c r="CL26" s="399"/>
      <c r="CM26" s="399"/>
      <c r="CN26" s="399"/>
      <c r="CO26" s="399">
        <v>0</v>
      </c>
      <c r="CP26" s="399">
        <v>0</v>
      </c>
      <c r="CQ26" s="399">
        <v>30</v>
      </c>
      <c r="CR26" s="399"/>
      <c r="CS26" s="399"/>
      <c r="CT26" s="399"/>
      <c r="CU26" s="399"/>
      <c r="CV26" s="399"/>
      <c r="CW26" s="399"/>
      <c r="CX26" s="399"/>
      <c r="CY26" s="399"/>
      <c r="CZ26" s="399"/>
      <c r="DA26" s="399"/>
      <c r="DB26" s="399"/>
      <c r="DC26" s="399"/>
      <c r="DD26" s="399"/>
      <c r="DE26" s="399"/>
      <c r="DF26" s="399"/>
      <c r="DG26" s="399"/>
      <c r="DH26" s="399"/>
      <c r="DI26" s="399"/>
      <c r="DJ26" s="399"/>
      <c r="DK26" s="399">
        <v>0</v>
      </c>
      <c r="DL26" s="399"/>
      <c r="DM26" s="399"/>
      <c r="DN26" s="399"/>
      <c r="DO26" s="399"/>
      <c r="DP26" s="399"/>
      <c r="DQ26" s="399"/>
      <c r="DR26" s="399"/>
      <c r="DS26" s="399"/>
      <c r="DT26" s="399"/>
      <c r="DU26" s="399"/>
      <c r="DV26" s="399"/>
      <c r="DW26" s="399"/>
      <c r="DX26" s="399"/>
      <c r="DY26" s="399"/>
      <c r="DZ26" s="399"/>
      <c r="EA26" s="399"/>
      <c r="EB26" s="399"/>
      <c r="EC26" s="399"/>
      <c r="ED26" s="399"/>
      <c r="EE26" s="399"/>
      <c r="EF26" s="399"/>
      <c r="EG26" s="399"/>
      <c r="EH26" s="399"/>
      <c r="EI26" s="399"/>
      <c r="EJ26" s="399"/>
      <c r="EK26" s="399"/>
      <c r="EL26" s="399"/>
      <c r="EM26" s="399"/>
      <c r="EN26" s="399"/>
      <c r="EO26" s="399"/>
      <c r="EP26" s="399"/>
      <c r="EQ26" s="399"/>
      <c r="ER26" s="399"/>
      <c r="ES26" s="399"/>
      <c r="ET26" s="399"/>
      <c r="EU26" s="399"/>
      <c r="EV26" s="399">
        <v>216</v>
      </c>
      <c r="EW26" s="399"/>
      <c r="EX26" s="399"/>
      <c r="EY26" s="399"/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954</v>
      </c>
      <c r="C27" s="399" t="s">
        <v>2361</v>
      </c>
      <c r="D27" s="399" t="s">
        <v>1824</v>
      </c>
      <c r="E27" s="399" t="s">
        <v>916</v>
      </c>
      <c r="F27" s="399" t="s">
        <v>1237</v>
      </c>
      <c r="G27" s="399" t="s">
        <v>1237</v>
      </c>
      <c r="H27" s="399" t="s">
        <v>1237</v>
      </c>
      <c r="I27" s="399" t="s">
        <v>2362</v>
      </c>
      <c r="J27" s="399" t="s">
        <v>2353</v>
      </c>
      <c r="K27" s="789">
        <v>44440</v>
      </c>
      <c r="L27" s="399">
        <v>0</v>
      </c>
      <c r="M27" s="399">
        <v>0</v>
      </c>
      <c r="N27" s="399">
        <v>3.2000000000000001E-2</v>
      </c>
      <c r="O27" s="399">
        <v>3.2000000000000001E-2</v>
      </c>
      <c r="P27" s="399">
        <v>3.2000000000000001E-2</v>
      </c>
      <c r="Q27" s="399">
        <v>3.2000000000000001E-2</v>
      </c>
      <c r="R27" s="399"/>
      <c r="S27" s="399">
        <v>782.07</v>
      </c>
      <c r="T27" s="399">
        <v>215.17</v>
      </c>
      <c r="U27" s="399"/>
      <c r="V27" s="399">
        <v>31.91168</v>
      </c>
      <c r="W27" s="399">
        <v>31.91168</v>
      </c>
      <c r="X27" s="399">
        <v>25.597119999999997</v>
      </c>
      <c r="Y27" s="399">
        <v>0</v>
      </c>
      <c r="Z27" s="399">
        <v>1.9547711390139906</v>
      </c>
      <c r="AA27" s="399">
        <v>0</v>
      </c>
      <c r="AB27" s="399">
        <v>0</v>
      </c>
      <c r="AC27" s="399">
        <v>0</v>
      </c>
      <c r="AD27" s="399">
        <v>5.9166131198073915</v>
      </c>
      <c r="AE27" s="399">
        <v>16.746159409002335</v>
      </c>
      <c r="AF27" s="399">
        <v>6.7443820027091528</v>
      </c>
      <c r="AG27" s="399">
        <v>0.14102318191925792</v>
      </c>
      <c r="AH27" s="399">
        <v>0</v>
      </c>
      <c r="AI27" s="399">
        <v>0</v>
      </c>
      <c r="AJ27" s="399">
        <v>0</v>
      </c>
      <c r="AK27" s="399">
        <v>0</v>
      </c>
      <c r="AL27" s="399">
        <v>0.30206228343649028</v>
      </c>
      <c r="AM27" s="399"/>
      <c r="AN27" s="399">
        <v>3.7676719322893119E-2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6.8861905383146238E-2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6.8132439080922991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23.997299999999996</v>
      </c>
      <c r="CJ27" s="399">
        <v>-7.9443800000000095</v>
      </c>
      <c r="CK27" s="399"/>
      <c r="CL27" s="399"/>
      <c r="CM27" s="399"/>
      <c r="CN27" s="399"/>
      <c r="CO27" s="399">
        <v>-7.1843200000000031</v>
      </c>
      <c r="CP27" s="399">
        <v>0.8697600000000002</v>
      </c>
      <c r="CQ27" s="399">
        <v>30</v>
      </c>
      <c r="CR27" s="399">
        <v>1.0333466526041928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0.24626234803292846</v>
      </c>
      <c r="DA27" s="399">
        <v>0</v>
      </c>
      <c r="DB27" s="399">
        <v>0</v>
      </c>
      <c r="DC27" s="399">
        <v>0.86974352253302367</v>
      </c>
      <c r="DD27" s="399">
        <v>0</v>
      </c>
      <c r="DE27" s="399">
        <v>0</v>
      </c>
      <c r="DF27" s="399">
        <v>0</v>
      </c>
      <c r="DG27" s="399">
        <v>8.8803089937990465E-3</v>
      </c>
      <c r="DH27" s="399">
        <v>0</v>
      </c>
      <c r="DI27" s="399">
        <v>-7.9479034622822464E-2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-9.6042329812953686E-3</v>
      </c>
      <c r="DP27" s="399">
        <v>-2.4562593514393591E-3</v>
      </c>
      <c r="DQ27" s="399">
        <v>0</v>
      </c>
      <c r="DR27" s="399">
        <v>0</v>
      </c>
      <c r="DS27" s="399"/>
      <c r="DT27" s="399"/>
      <c r="DU27" s="399"/>
      <c r="DV27" s="399">
        <v>16.746159409002335</v>
      </c>
      <c r="DW27" s="399">
        <v>0</v>
      </c>
      <c r="DX27" s="399">
        <v>0</v>
      </c>
      <c r="DY27" s="399">
        <v>-7.1843200000000031</v>
      </c>
      <c r="DZ27" s="399">
        <v>0.86976000000000031</v>
      </c>
      <c r="EA27" s="399">
        <v>0</v>
      </c>
      <c r="EB27" s="399">
        <v>0</v>
      </c>
      <c r="EC27" s="399">
        <v>-7.347750987169503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216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954</v>
      </c>
      <c r="C28" s="399" t="s">
        <v>2352</v>
      </c>
      <c r="D28" s="399" t="s">
        <v>2363</v>
      </c>
      <c r="E28" s="399" t="s">
        <v>892</v>
      </c>
      <c r="F28" s="399" t="s">
        <v>1237</v>
      </c>
      <c r="G28" s="399" t="s">
        <v>1237</v>
      </c>
      <c r="H28" s="399" t="s">
        <v>1237</v>
      </c>
      <c r="I28" s="399" t="s">
        <v>1237</v>
      </c>
      <c r="J28" s="399" t="s">
        <v>2353</v>
      </c>
      <c r="K28" s="789">
        <v>44440</v>
      </c>
      <c r="L28" s="399">
        <v>0</v>
      </c>
      <c r="M28" s="399">
        <v>0</v>
      </c>
      <c r="N28" s="399">
        <v>370.56599999999997</v>
      </c>
      <c r="O28" s="399">
        <v>370.56599999999997</v>
      </c>
      <c r="P28" s="399">
        <v>370.56599999999997</v>
      </c>
      <c r="Q28" s="399">
        <v>370.56599999999997</v>
      </c>
      <c r="R28" s="399"/>
      <c r="S28" s="399">
        <v>415.98</v>
      </c>
      <c r="T28" s="399">
        <v>215.17</v>
      </c>
      <c r="U28" s="399"/>
      <c r="V28" s="399">
        <v>233882.73089999997</v>
      </c>
      <c r="W28" s="399">
        <v>233882.73089999997</v>
      </c>
      <c r="X28" s="399">
        <v>203270.27363999997</v>
      </c>
      <c r="Y28" s="399">
        <v>0</v>
      </c>
      <c r="Z28" s="399">
        <v>22636.616309370573</v>
      </c>
      <c r="AA28" s="399">
        <v>0</v>
      </c>
      <c r="AB28" s="399">
        <v>0</v>
      </c>
      <c r="AC28" s="399">
        <v>0</v>
      </c>
      <c r="AD28" s="399">
        <v>33097.31625669825</v>
      </c>
      <c r="AE28" s="399">
        <v>93682.972703167412</v>
      </c>
      <c r="AF28" s="399">
        <v>78101.208162997485</v>
      </c>
      <c r="AG28" s="399">
        <v>1633.0748884716165</v>
      </c>
      <c r="AH28" s="399">
        <v>0</v>
      </c>
      <c r="AI28" s="399">
        <v>0</v>
      </c>
      <c r="AJ28" s="399">
        <v>0</v>
      </c>
      <c r="AK28" s="399">
        <v>0</v>
      </c>
      <c r="AL28" s="399">
        <v>3497.9378788727013</v>
      </c>
      <c r="AM28" s="399"/>
      <c r="AN28" s="399">
        <v>436.30347414397534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797.43377594409276</v>
      </c>
      <c r="BH28" s="399">
        <v>0</v>
      </c>
      <c r="BI28" s="399">
        <v>0</v>
      </c>
      <c r="BJ28" s="399">
        <v>0</v>
      </c>
      <c r="BK28" s="399">
        <v>52757.54</v>
      </c>
      <c r="BL28" s="399">
        <v>1600</v>
      </c>
      <c r="BM28" s="399"/>
      <c r="BN28" s="399"/>
      <c r="BO28" s="399"/>
      <c r="BP28" s="399"/>
      <c r="BQ28" s="399"/>
      <c r="BR28" s="399">
        <v>24390.654119999996</v>
      </c>
      <c r="BS28" s="399"/>
      <c r="BT28" s="399"/>
      <c r="BU28" s="399"/>
      <c r="BV28" s="399">
        <v>78898.641938941582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178881.55040000001</v>
      </c>
      <c r="CJ28" s="399">
        <v>-26934.541660000017</v>
      </c>
      <c r="CK28" s="399"/>
      <c r="CL28" s="399"/>
      <c r="CM28" s="399"/>
      <c r="CN28" s="399"/>
      <c r="CO28" s="399">
        <v>-40684.441140000003</v>
      </c>
      <c r="CP28" s="399">
        <v>10071.983880000002</v>
      </c>
      <c r="CQ28" s="399">
        <v>30</v>
      </c>
      <c r="CR28" s="399">
        <v>10492.166345836304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1377.5825205939036</v>
      </c>
      <c r="DA28" s="399">
        <v>0</v>
      </c>
      <c r="DB28" s="399">
        <v>0</v>
      </c>
      <c r="DC28" s="399">
        <v>10071.793067842897</v>
      </c>
      <c r="DD28" s="399">
        <v>0</v>
      </c>
      <c r="DE28" s="399">
        <v>0</v>
      </c>
      <c r="DF28" s="399">
        <v>0</v>
      </c>
      <c r="DG28" s="399">
        <v>102.83564320612925</v>
      </c>
      <c r="DH28" s="399">
        <v>0</v>
      </c>
      <c r="DI28" s="399">
        <v>-920.38212325127461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-111.2188187170841</v>
      </c>
      <c r="DP28" s="399">
        <v>-28.443943838296207</v>
      </c>
      <c r="DQ28" s="399">
        <v>0</v>
      </c>
      <c r="DR28" s="399">
        <v>0</v>
      </c>
      <c r="DS28" s="399"/>
      <c r="DT28" s="399"/>
      <c r="DU28" s="399"/>
      <c r="DV28" s="399">
        <v>93682.972703167412</v>
      </c>
      <c r="DW28" s="399">
        <v>0</v>
      </c>
      <c r="DX28" s="399">
        <v>0</v>
      </c>
      <c r="DY28" s="399">
        <v>-40684.441139999995</v>
      </c>
      <c r="DZ28" s="399">
        <v>10071.98388</v>
      </c>
      <c r="EA28" s="399">
        <v>0</v>
      </c>
      <c r="EB28" s="399">
        <v>0</v>
      </c>
      <c r="EC28" s="399">
        <v>-41105.494003038439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216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2354</v>
      </c>
      <c r="C29" s="399" t="s">
        <v>2352</v>
      </c>
      <c r="D29" s="399" t="s">
        <v>2363</v>
      </c>
      <c r="E29" s="399" t="s">
        <v>892</v>
      </c>
      <c r="F29" s="399" t="s">
        <v>1237</v>
      </c>
      <c r="G29" s="399" t="s">
        <v>1237</v>
      </c>
      <c r="H29" s="399" t="s">
        <v>1237</v>
      </c>
      <c r="I29" s="399" t="s">
        <v>1237</v>
      </c>
      <c r="J29" s="399" t="s">
        <v>2353</v>
      </c>
      <c r="K29" s="789">
        <v>44440</v>
      </c>
      <c r="L29" s="399">
        <v>0</v>
      </c>
      <c r="M29" s="399">
        <v>0</v>
      </c>
      <c r="N29" s="399">
        <v>-0.499</v>
      </c>
      <c r="O29" s="399">
        <v>-0.499</v>
      </c>
      <c r="P29" s="399">
        <v>-0.499</v>
      </c>
      <c r="Q29" s="399">
        <v>-0.499</v>
      </c>
      <c r="R29" s="399"/>
      <c r="S29" s="399">
        <v>415.98</v>
      </c>
      <c r="T29" s="399">
        <v>215.17</v>
      </c>
      <c r="U29" s="399"/>
      <c r="V29" s="399">
        <v>-314.94385</v>
      </c>
      <c r="W29" s="399">
        <v>-314.94385</v>
      </c>
      <c r="X29" s="399">
        <v>-273.72145999999998</v>
      </c>
      <c r="Y29" s="399">
        <v>0</v>
      </c>
      <c r="Z29" s="399">
        <v>-30.482212448999412</v>
      </c>
      <c r="AA29" s="399">
        <v>0</v>
      </c>
      <c r="AB29" s="399">
        <v>0</v>
      </c>
      <c r="AC29" s="399">
        <v>0</v>
      </c>
      <c r="AD29" s="399">
        <v>-44.568473125144848</v>
      </c>
      <c r="AE29" s="399">
        <v>-126.15243540659571</v>
      </c>
      <c r="AF29" s="399">
        <v>-105.17020685474584</v>
      </c>
      <c r="AG29" s="399">
        <v>-2.1990802430534284</v>
      </c>
      <c r="AH29" s="399">
        <v>0</v>
      </c>
      <c r="AI29" s="399">
        <v>0</v>
      </c>
      <c r="AJ29" s="399">
        <v>0</v>
      </c>
      <c r="AK29" s="399">
        <v>0</v>
      </c>
      <c r="AL29" s="399">
        <v>-4.7102837323377695</v>
      </c>
      <c r="AM29" s="399"/>
      <c r="AN29" s="399">
        <v>-0.58752134194136463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-1.0738153370684367</v>
      </c>
      <c r="BH29" s="399">
        <v>0</v>
      </c>
      <c r="BI29" s="399">
        <v>0</v>
      </c>
      <c r="BJ29" s="399">
        <v>0</v>
      </c>
      <c r="BK29" s="399">
        <v>-50.86</v>
      </c>
      <c r="BL29" s="399">
        <v>0</v>
      </c>
      <c r="BM29" s="399"/>
      <c r="BN29" s="399"/>
      <c r="BO29" s="399"/>
      <c r="BP29" s="399"/>
      <c r="BQ29" s="399"/>
      <c r="BR29" s="399">
        <v>-32.844179999999994</v>
      </c>
      <c r="BS29" s="399"/>
      <c r="BT29" s="399"/>
      <c r="BU29" s="399"/>
      <c r="BV29" s="399">
        <v>-106.24402219181428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-241.36</v>
      </c>
      <c r="CJ29" s="399">
        <v>35.759590000000003</v>
      </c>
      <c r="CK29" s="399"/>
      <c r="CL29" s="399"/>
      <c r="CM29" s="399"/>
      <c r="CN29" s="399"/>
      <c r="CO29" s="399">
        <v>54.785210000000014</v>
      </c>
      <c r="CP29" s="399">
        <v>-13.562820000000004</v>
      </c>
      <c r="CQ29" s="399">
        <v>30</v>
      </c>
      <c r="CR29" s="399">
        <v>-14.128632973808408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-1.8550370994002705</v>
      </c>
      <c r="DA29" s="399">
        <v>0</v>
      </c>
      <c r="DB29" s="399">
        <v>0</v>
      </c>
      <c r="DC29" s="399">
        <v>-13.562563054499336</v>
      </c>
      <c r="DD29" s="399">
        <v>0</v>
      </c>
      <c r="DE29" s="399">
        <v>0</v>
      </c>
      <c r="DF29" s="399">
        <v>0</v>
      </c>
      <c r="DG29" s="399">
        <v>-0.13847731837205379</v>
      </c>
      <c r="DH29" s="399">
        <v>0</v>
      </c>
      <c r="DI29" s="399">
        <v>1.2393761961496352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0.14976600805207418</v>
      </c>
      <c r="DP29" s="399">
        <v>3.8302294261507663E-2</v>
      </c>
      <c r="DQ29" s="399">
        <v>0</v>
      </c>
      <c r="DR29" s="399">
        <v>0</v>
      </c>
      <c r="DS29" s="399"/>
      <c r="DT29" s="399"/>
      <c r="DU29" s="399"/>
      <c r="DV29" s="399">
        <v>-126.15243540659571</v>
      </c>
      <c r="DW29" s="399">
        <v>0</v>
      </c>
      <c r="DX29" s="399">
        <v>0</v>
      </c>
      <c r="DY29" s="399">
        <v>54.785210000000006</v>
      </c>
      <c r="DZ29" s="399">
        <v>-13.562820000000002</v>
      </c>
      <c r="EA29" s="399">
        <v>0</v>
      </c>
      <c r="EB29" s="399">
        <v>0</v>
      </c>
      <c r="EC29" s="399">
        <v>55.352195040873113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216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2355</v>
      </c>
      <c r="C30" s="399" t="s">
        <v>2352</v>
      </c>
      <c r="D30" s="399" t="s">
        <v>2363</v>
      </c>
      <c r="E30" s="399" t="s">
        <v>892</v>
      </c>
      <c r="F30" s="399" t="s">
        <v>1237</v>
      </c>
      <c r="G30" s="399" t="s">
        <v>1237</v>
      </c>
      <c r="H30" s="399" t="s">
        <v>1237</v>
      </c>
      <c r="I30" s="399" t="s">
        <v>1237</v>
      </c>
      <c r="J30" s="399" t="s">
        <v>2353</v>
      </c>
      <c r="K30" s="789">
        <v>44440</v>
      </c>
      <c r="L30" s="399">
        <v>0</v>
      </c>
      <c r="M30" s="399">
        <v>0</v>
      </c>
      <c r="N30" s="399">
        <v>1.986</v>
      </c>
      <c r="O30" s="399">
        <v>1.986</v>
      </c>
      <c r="P30" s="399">
        <v>1.986</v>
      </c>
      <c r="Q30" s="399">
        <v>1.986</v>
      </c>
      <c r="R30" s="399"/>
      <c r="S30" s="399">
        <v>415.98</v>
      </c>
      <c r="T30" s="399">
        <v>215.17</v>
      </c>
      <c r="U30" s="399"/>
      <c r="V30" s="399">
        <v>1253.4639</v>
      </c>
      <c r="W30" s="399">
        <v>1253.4639</v>
      </c>
      <c r="X30" s="399">
        <v>1089.4004399999999</v>
      </c>
      <c r="Y30" s="399">
        <v>0</v>
      </c>
      <c r="Z30" s="399">
        <v>121.31798381505578</v>
      </c>
      <c r="AA30" s="399">
        <v>0</v>
      </c>
      <c r="AB30" s="399">
        <v>0</v>
      </c>
      <c r="AC30" s="399">
        <v>0</v>
      </c>
      <c r="AD30" s="399">
        <v>177.3807367265284</v>
      </c>
      <c r="AE30" s="399">
        <v>502.08163670841498</v>
      </c>
      <c r="AF30" s="399">
        <v>418.57320804313679</v>
      </c>
      <c r="AG30" s="399">
        <v>8.7522512278639439</v>
      </c>
      <c r="AH30" s="399">
        <v>0</v>
      </c>
      <c r="AI30" s="399">
        <v>0</v>
      </c>
      <c r="AJ30" s="399">
        <v>0</v>
      </c>
      <c r="AK30" s="399">
        <v>0</v>
      </c>
      <c r="AL30" s="399">
        <v>18.746740465777176</v>
      </c>
      <c r="AM30" s="399"/>
      <c r="AN30" s="399">
        <v>2.3383113929770545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4.2737420028415132</v>
      </c>
      <c r="BH30" s="399">
        <v>0</v>
      </c>
      <c r="BI30" s="399">
        <v>0</v>
      </c>
      <c r="BJ30" s="399">
        <v>0</v>
      </c>
      <c r="BK30" s="399">
        <v>1790.16</v>
      </c>
      <c r="BL30" s="399">
        <v>17</v>
      </c>
      <c r="BM30" s="399"/>
      <c r="BN30" s="399"/>
      <c r="BO30" s="399"/>
      <c r="BP30" s="399"/>
      <c r="BQ30" s="399"/>
      <c r="BR30" s="399">
        <v>130.71851999999998</v>
      </c>
      <c r="BS30" s="399"/>
      <c r="BT30" s="399"/>
      <c r="BU30" s="399"/>
      <c r="BV30" s="399">
        <v>422.8469500459783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960.61280000000011</v>
      </c>
      <c r="CJ30" s="399">
        <v>-142.46145999999999</v>
      </c>
      <c r="CK30" s="399"/>
      <c r="CL30" s="399"/>
      <c r="CM30" s="399"/>
      <c r="CN30" s="399"/>
      <c r="CO30" s="399">
        <v>-218.04294000000004</v>
      </c>
      <c r="CP30" s="399">
        <v>53.979480000000017</v>
      </c>
      <c r="CQ30" s="399">
        <v>30</v>
      </c>
      <c r="CR30" s="399">
        <v>56.231392957882804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7.3829733054287203</v>
      </c>
      <c r="DA30" s="399">
        <v>0</v>
      </c>
      <c r="DB30" s="399">
        <v>0</v>
      </c>
      <c r="DC30" s="399">
        <v>53.978457367205749</v>
      </c>
      <c r="DD30" s="399">
        <v>0</v>
      </c>
      <c r="DE30" s="399">
        <v>0</v>
      </c>
      <c r="DF30" s="399">
        <v>0</v>
      </c>
      <c r="DG30" s="399">
        <v>0.55113417692765321</v>
      </c>
      <c r="DH30" s="399">
        <v>0</v>
      </c>
      <c r="DI30" s="399">
        <v>-4.9326675862789102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-0.59606270940164308</v>
      </c>
      <c r="DP30" s="399">
        <v>-0.15244159599870555</v>
      </c>
      <c r="DQ30" s="399">
        <v>0</v>
      </c>
      <c r="DR30" s="399">
        <v>0</v>
      </c>
      <c r="DS30" s="399"/>
      <c r="DT30" s="399"/>
      <c r="DU30" s="399"/>
      <c r="DV30" s="399">
        <v>502.08163670841498</v>
      </c>
      <c r="DW30" s="399">
        <v>0</v>
      </c>
      <c r="DX30" s="399">
        <v>0</v>
      </c>
      <c r="DY30" s="399">
        <v>-218.04294000000004</v>
      </c>
      <c r="DZ30" s="399">
        <v>53.979480000000024</v>
      </c>
      <c r="EA30" s="399">
        <v>0</v>
      </c>
      <c r="EB30" s="399">
        <v>0</v>
      </c>
      <c r="EC30" s="399">
        <v>-220.29951773782363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216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954</v>
      </c>
      <c r="C31" s="399" t="s">
        <v>2352</v>
      </c>
      <c r="D31" s="399" t="s">
        <v>1824</v>
      </c>
      <c r="E31" s="399" t="s">
        <v>2364</v>
      </c>
      <c r="F31" s="399" t="s">
        <v>1237</v>
      </c>
      <c r="G31" s="399" t="s">
        <v>1237</v>
      </c>
      <c r="H31" s="399" t="s">
        <v>1237</v>
      </c>
      <c r="I31" s="399" t="s">
        <v>1237</v>
      </c>
      <c r="J31" s="399" t="s">
        <v>2353</v>
      </c>
      <c r="K31" s="789">
        <v>44440</v>
      </c>
      <c r="L31" s="399">
        <v>0</v>
      </c>
      <c r="M31" s="399">
        <v>0</v>
      </c>
      <c r="N31" s="399">
        <v>22.029</v>
      </c>
      <c r="O31" s="399">
        <v>22.029</v>
      </c>
      <c r="P31" s="399">
        <v>22.029</v>
      </c>
      <c r="Q31" s="399">
        <v>22.029</v>
      </c>
      <c r="R31" s="399"/>
      <c r="S31" s="399">
        <v>415.98</v>
      </c>
      <c r="T31" s="399">
        <v>215.17</v>
      </c>
      <c r="U31" s="399"/>
      <c r="V31" s="399">
        <v>13903.603349999999</v>
      </c>
      <c r="W31" s="399">
        <v>13903.603349999999</v>
      </c>
      <c r="X31" s="399">
        <v>12083.78766</v>
      </c>
      <c r="Y31" s="399">
        <v>0</v>
      </c>
      <c r="Z31" s="399">
        <v>1345.6766694168498</v>
      </c>
      <c r="AA31" s="399">
        <v>0</v>
      </c>
      <c r="AB31" s="399">
        <v>0</v>
      </c>
      <c r="AC31" s="399">
        <v>0</v>
      </c>
      <c r="AD31" s="399">
        <v>1967.5328546569458</v>
      </c>
      <c r="AE31" s="399">
        <v>5569.1623237913764</v>
      </c>
      <c r="AF31" s="399">
        <v>4642.8747230524978</v>
      </c>
      <c r="AG31" s="399">
        <v>97.081239828104145</v>
      </c>
      <c r="AH31" s="399">
        <v>0</v>
      </c>
      <c r="AI31" s="399">
        <v>0</v>
      </c>
      <c r="AJ31" s="399">
        <v>0</v>
      </c>
      <c r="AK31" s="399">
        <v>0</v>
      </c>
      <c r="AL31" s="399">
        <v>207.94156380695136</v>
      </c>
      <c r="AM31" s="399"/>
      <c r="AN31" s="399">
        <v>25.936889061375393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47.404966052666516</v>
      </c>
      <c r="BH31" s="399">
        <v>0</v>
      </c>
      <c r="BI31" s="399">
        <v>0</v>
      </c>
      <c r="BJ31" s="399">
        <v>0</v>
      </c>
      <c r="BK31" s="399">
        <v>4768.6899999999996</v>
      </c>
      <c r="BL31" s="399">
        <v>48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4690.2796891051639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12084.336200000002</v>
      </c>
      <c r="CJ31" s="399">
        <v>-1819.2971499999985</v>
      </c>
      <c r="CK31" s="399"/>
      <c r="CL31" s="399"/>
      <c r="CM31" s="399"/>
      <c r="CN31" s="399"/>
      <c r="CO31" s="399">
        <v>-2418.5639100000003</v>
      </c>
      <c r="CP31" s="399">
        <v>598.74822000000017</v>
      </c>
      <c r="CQ31" s="399">
        <v>30</v>
      </c>
      <c r="CR31" s="399">
        <v>623.72676509023222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81.893010546469668</v>
      </c>
      <c r="DA31" s="399">
        <v>0</v>
      </c>
      <c r="DB31" s="399">
        <v>0</v>
      </c>
      <c r="DC31" s="399">
        <v>598.736876808749</v>
      </c>
      <c r="DD31" s="399">
        <v>0</v>
      </c>
      <c r="DE31" s="399">
        <v>0</v>
      </c>
      <c r="DF31" s="399">
        <v>0</v>
      </c>
      <c r="DG31" s="399">
        <v>6.1132602132624712</v>
      </c>
      <c r="DH31" s="399">
        <v>0</v>
      </c>
      <c r="DI31" s="399">
        <v>-54.713864178317181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-6.6116140107798458</v>
      </c>
      <c r="DP31" s="399">
        <v>-1.6909042891518062</v>
      </c>
      <c r="DQ31" s="399">
        <v>0</v>
      </c>
      <c r="DR31" s="399">
        <v>0</v>
      </c>
      <c r="DS31" s="399"/>
      <c r="DT31" s="399"/>
      <c r="DU31" s="399"/>
      <c r="DV31" s="399">
        <v>5569.1623237913764</v>
      </c>
      <c r="DW31" s="399">
        <v>0</v>
      </c>
      <c r="DX31" s="399">
        <v>0</v>
      </c>
      <c r="DY31" s="399">
        <v>-2418.5639099999999</v>
      </c>
      <c r="DZ31" s="399">
        <v>598.7482200000004</v>
      </c>
      <c r="EA31" s="399">
        <v>0</v>
      </c>
      <c r="EB31" s="399">
        <v>0</v>
      </c>
      <c r="EC31" s="399">
        <v>-2443.594197505799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216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954</v>
      </c>
      <c r="C32" s="399" t="s">
        <v>2352</v>
      </c>
      <c r="D32" s="399" t="s">
        <v>2365</v>
      </c>
      <c r="E32" s="399" t="s">
        <v>2366</v>
      </c>
      <c r="F32" s="399" t="s">
        <v>2367</v>
      </c>
      <c r="G32" s="399" t="s">
        <v>1237</v>
      </c>
      <c r="H32" s="399" t="s">
        <v>1237</v>
      </c>
      <c r="I32" s="399" t="s">
        <v>1237</v>
      </c>
      <c r="J32" s="399" t="s">
        <v>2353</v>
      </c>
      <c r="K32" s="789">
        <v>44440</v>
      </c>
      <c r="L32" s="399">
        <v>0</v>
      </c>
      <c r="M32" s="399">
        <v>0</v>
      </c>
      <c r="N32" s="399">
        <v>96.787000000000006</v>
      </c>
      <c r="O32" s="399">
        <v>96.787000000000006</v>
      </c>
      <c r="P32" s="399">
        <v>96.787000000000006</v>
      </c>
      <c r="Q32" s="399">
        <v>96.787000000000006</v>
      </c>
      <c r="R32" s="399"/>
      <c r="S32" s="399">
        <v>228.79</v>
      </c>
      <c r="T32" s="399">
        <v>118.34</v>
      </c>
      <c r="U32" s="399"/>
      <c r="V32" s="399">
        <v>33597.671310000005</v>
      </c>
      <c r="W32" s="399">
        <v>33597.671310000005</v>
      </c>
      <c r="X32" s="399">
        <v>29199.670030000001</v>
      </c>
      <c r="Y32" s="399">
        <v>0</v>
      </c>
      <c r="Z32" s="399">
        <v>3251.8137133581477</v>
      </c>
      <c r="AA32" s="399">
        <v>0</v>
      </c>
      <c r="AB32" s="399">
        <v>0</v>
      </c>
      <c r="AC32" s="399">
        <v>0</v>
      </c>
      <c r="AD32" s="399">
        <v>4754.5227346690781</v>
      </c>
      <c r="AE32" s="399">
        <v>13457.82298824451</v>
      </c>
      <c r="AF32" s="399">
        <v>11219.458609153569</v>
      </c>
      <c r="AG32" s="399">
        <v>234.59580905095575</v>
      </c>
      <c r="AH32" s="399">
        <v>0</v>
      </c>
      <c r="AI32" s="399">
        <v>0</v>
      </c>
      <c r="AJ32" s="399">
        <v>0</v>
      </c>
      <c r="AK32" s="399">
        <v>0</v>
      </c>
      <c r="AL32" s="399">
        <v>502.48863202600575</v>
      </c>
      <c r="AM32" s="399"/>
      <c r="AN32" s="399">
        <v>62.676223381489969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114.55360874922494</v>
      </c>
      <c r="BH32" s="399">
        <v>0</v>
      </c>
      <c r="BI32" s="399">
        <v>0</v>
      </c>
      <c r="BJ32" s="399">
        <v>0</v>
      </c>
      <c r="BK32" s="399">
        <v>15814.69</v>
      </c>
      <c r="BL32" s="399">
        <v>88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11334.012217902795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29200.575100000002</v>
      </c>
      <c r="CJ32" s="399">
        <v>-4397.1262099999949</v>
      </c>
      <c r="CK32" s="399"/>
      <c r="CL32" s="399"/>
      <c r="CM32" s="399"/>
      <c r="CN32" s="399"/>
      <c r="CO32" s="399">
        <v>-5844.9669299999987</v>
      </c>
      <c r="CP32" s="399">
        <v>1446.965649999999</v>
      </c>
      <c r="CQ32" s="399">
        <v>30</v>
      </c>
      <c r="CR32" s="399">
        <v>1507.2292581158908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197.89361053468292</v>
      </c>
      <c r="DA32" s="399">
        <v>0</v>
      </c>
      <c r="DB32" s="399">
        <v>0</v>
      </c>
      <c r="DC32" s="399">
        <v>1446.8414522960647</v>
      </c>
      <c r="DD32" s="399">
        <v>0</v>
      </c>
      <c r="DE32" s="399">
        <v>0</v>
      </c>
      <c r="DF32" s="399">
        <v>0</v>
      </c>
      <c r="DG32" s="399">
        <v>14.772629894393219</v>
      </c>
      <c r="DH32" s="399">
        <v>0</v>
      </c>
      <c r="DI32" s="399">
        <v>-132.21548525691651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-15.976896676824026</v>
      </c>
      <c r="DP32" s="399">
        <v>-4.0860526755085971</v>
      </c>
      <c r="DQ32" s="399">
        <v>0</v>
      </c>
      <c r="DR32" s="399">
        <v>0</v>
      </c>
      <c r="DS32" s="399"/>
      <c r="DT32" s="399"/>
      <c r="DU32" s="399"/>
      <c r="DV32" s="399">
        <v>13457.82298824451</v>
      </c>
      <c r="DW32" s="399">
        <v>0</v>
      </c>
      <c r="DX32" s="399">
        <v>0</v>
      </c>
      <c r="DY32" s="399">
        <v>-5844.9669299999987</v>
      </c>
      <c r="DZ32" s="399">
        <v>1446.9656499999983</v>
      </c>
      <c r="EA32" s="399">
        <v>0</v>
      </c>
      <c r="EB32" s="399">
        <v>0</v>
      </c>
      <c r="EC32" s="399">
        <v>-5904.9200316263568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216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954</v>
      </c>
      <c r="C33" s="399" t="s">
        <v>2352</v>
      </c>
      <c r="D33" s="399" t="s">
        <v>1824</v>
      </c>
      <c r="E33" s="399" t="s">
        <v>919</v>
      </c>
      <c r="F33" s="399" t="s">
        <v>2368</v>
      </c>
      <c r="G33" s="399" t="s">
        <v>1237</v>
      </c>
      <c r="H33" s="399" t="s">
        <v>1237</v>
      </c>
      <c r="I33" s="399" t="s">
        <v>1237</v>
      </c>
      <c r="J33" s="399" t="s">
        <v>2353</v>
      </c>
      <c r="K33" s="789">
        <v>44440</v>
      </c>
      <c r="L33" s="399">
        <v>0</v>
      </c>
      <c r="M33" s="399">
        <v>0</v>
      </c>
      <c r="N33" s="399">
        <v>19.818999999999999</v>
      </c>
      <c r="O33" s="399">
        <v>18.629859999999997</v>
      </c>
      <c r="P33" s="399">
        <v>19.818999999999999</v>
      </c>
      <c r="Q33" s="399">
        <v>18.629859999999997</v>
      </c>
      <c r="R33" s="399"/>
      <c r="S33" s="399">
        <v>415.98</v>
      </c>
      <c r="T33" s="399">
        <v>215.17</v>
      </c>
      <c r="U33" s="399"/>
      <c r="V33" s="399">
        <v>12508.761849999999</v>
      </c>
      <c r="W33" s="399">
        <v>12508.761849999999</v>
      </c>
      <c r="X33" s="399">
        <v>10871.51426</v>
      </c>
      <c r="Y33" s="399">
        <v>0</v>
      </c>
      <c r="Z33" s="399">
        <v>1210.6752876286962</v>
      </c>
      <c r="AA33" s="399">
        <v>0</v>
      </c>
      <c r="AB33" s="399">
        <v>0</v>
      </c>
      <c r="AC33" s="399">
        <v>0</v>
      </c>
      <c r="AD33" s="399">
        <v>1770.1454285916748</v>
      </c>
      <c r="AE33" s="399">
        <v>5010.4511369204811</v>
      </c>
      <c r="AF33" s="399">
        <v>4177.0908409903968</v>
      </c>
      <c r="AG33" s="399">
        <v>87.341826326805389</v>
      </c>
      <c r="AH33" s="399">
        <v>0</v>
      </c>
      <c r="AI33" s="399">
        <v>0</v>
      </c>
      <c r="AJ33" s="399">
        <v>0</v>
      </c>
      <c r="AK33" s="399">
        <v>0</v>
      </c>
      <c r="AL33" s="399">
        <v>187.08038735711875</v>
      </c>
      <c r="AM33" s="399"/>
      <c r="AN33" s="399">
        <v>23.334840633138086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42.649190712142975</v>
      </c>
      <c r="BH33" s="399">
        <v>0</v>
      </c>
      <c r="BI33" s="399">
        <v>0</v>
      </c>
      <c r="BJ33" s="399">
        <v>0</v>
      </c>
      <c r="BK33" s="399">
        <v>5135.72</v>
      </c>
      <c r="BL33" s="399">
        <v>4</v>
      </c>
      <c r="BM33" s="399"/>
      <c r="BN33" s="399"/>
      <c r="BO33" s="399"/>
      <c r="BP33" s="399"/>
      <c r="BQ33" s="399">
        <v>652.29085560000112</v>
      </c>
      <c r="BR33" s="399"/>
      <c r="BS33" s="399"/>
      <c r="BT33" s="399"/>
      <c r="BU33" s="399"/>
      <c r="BV33" s="399">
        <v>4219.7400317025395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10219.3002</v>
      </c>
      <c r="CJ33" s="399">
        <v>-1538.9659389999997</v>
      </c>
      <c r="CK33" s="399"/>
      <c r="CL33" s="399"/>
      <c r="CM33" s="399"/>
      <c r="CN33" s="399"/>
      <c r="CO33" s="399">
        <v>-2175.9280100000001</v>
      </c>
      <c r="CP33" s="399">
        <v>538.68042000000014</v>
      </c>
      <c r="CQ33" s="399">
        <v>30</v>
      </c>
      <c r="CR33" s="399">
        <v>561.15305993569018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73.677315176380716</v>
      </c>
      <c r="DA33" s="399">
        <v>0</v>
      </c>
      <c r="DB33" s="399">
        <v>0</v>
      </c>
      <c r="DC33" s="399">
        <v>538.6702147838123</v>
      </c>
      <c r="DD33" s="399">
        <v>0</v>
      </c>
      <c r="DE33" s="399">
        <v>0</v>
      </c>
      <c r="DF33" s="399">
        <v>0</v>
      </c>
      <c r="DG33" s="399">
        <v>5.4999638733782277</v>
      </c>
      <c r="DH33" s="399">
        <v>0</v>
      </c>
      <c r="DI33" s="399">
        <v>-49.224843349678849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-5.9483216705091593</v>
      </c>
      <c r="DP33" s="399">
        <v>-1.521268877693025</v>
      </c>
      <c r="DQ33" s="399">
        <v>0</v>
      </c>
      <c r="DR33" s="399">
        <v>0</v>
      </c>
      <c r="DS33" s="399"/>
      <c r="DT33" s="399"/>
      <c r="DU33" s="399"/>
      <c r="DV33" s="399">
        <v>5010.4511369204811</v>
      </c>
      <c r="DW33" s="399">
        <v>0</v>
      </c>
      <c r="DX33" s="399">
        <v>0</v>
      </c>
      <c r="DY33" s="399">
        <v>-2175.9280099999996</v>
      </c>
      <c r="DZ33" s="399">
        <v>538.68042000000059</v>
      </c>
      <c r="EA33" s="399">
        <v>0</v>
      </c>
      <c r="EB33" s="399">
        <v>0</v>
      </c>
      <c r="EC33" s="399">
        <v>-2198.447201432994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216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954</v>
      </c>
      <c r="C34" s="399" t="s">
        <v>2352</v>
      </c>
      <c r="D34" s="399" t="s">
        <v>1824</v>
      </c>
      <c r="E34" s="399" t="s">
        <v>2369</v>
      </c>
      <c r="F34" s="399" t="s">
        <v>1237</v>
      </c>
      <c r="G34" s="399" t="s">
        <v>1237</v>
      </c>
      <c r="H34" s="399" t="s">
        <v>1237</v>
      </c>
      <c r="I34" s="399" t="s">
        <v>1237</v>
      </c>
      <c r="J34" s="399" t="s">
        <v>2353</v>
      </c>
      <c r="K34" s="789">
        <v>44440</v>
      </c>
      <c r="L34" s="399">
        <v>0</v>
      </c>
      <c r="M34" s="399">
        <v>0</v>
      </c>
      <c r="N34" s="399">
        <v>0.58699999999999997</v>
      </c>
      <c r="O34" s="399">
        <v>0.58699999999999997</v>
      </c>
      <c r="P34" s="399">
        <v>0.58699999999999997</v>
      </c>
      <c r="Q34" s="399">
        <v>0.58699999999999997</v>
      </c>
      <c r="R34" s="399"/>
      <c r="S34" s="399">
        <v>415.98</v>
      </c>
      <c r="T34" s="399">
        <v>215.17</v>
      </c>
      <c r="U34" s="399"/>
      <c r="V34" s="399">
        <v>370.48505</v>
      </c>
      <c r="W34" s="399">
        <v>370.48505</v>
      </c>
      <c r="X34" s="399">
        <v>321.99297999999999</v>
      </c>
      <c r="Y34" s="399">
        <v>0</v>
      </c>
      <c r="Z34" s="399">
        <v>35.857833081287886</v>
      </c>
      <c r="AA34" s="399">
        <v>0</v>
      </c>
      <c r="AB34" s="399">
        <v>0</v>
      </c>
      <c r="AC34" s="399">
        <v>0</v>
      </c>
      <c r="AD34" s="399">
        <v>52.428243936793642</v>
      </c>
      <c r="AE34" s="399">
        <v>148.39975868471276</v>
      </c>
      <c r="AF34" s="399">
        <v>123.71725736219601</v>
      </c>
      <c r="AG34" s="399">
        <v>2.5868939933313873</v>
      </c>
      <c r="AH34" s="399">
        <v>0</v>
      </c>
      <c r="AI34" s="399">
        <v>0</v>
      </c>
      <c r="AJ34" s="399">
        <v>0</v>
      </c>
      <c r="AK34" s="399">
        <v>0</v>
      </c>
      <c r="AL34" s="399">
        <v>5.5409550117881174</v>
      </c>
      <c r="AM34" s="399"/>
      <c r="AN34" s="399">
        <v>0.69113232007932068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1.2631855768720888</v>
      </c>
      <c r="BH34" s="399">
        <v>0</v>
      </c>
      <c r="BI34" s="399">
        <v>0</v>
      </c>
      <c r="BJ34" s="399">
        <v>0</v>
      </c>
      <c r="BK34" s="399">
        <v>152.1</v>
      </c>
      <c r="BL34" s="399">
        <v>2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124.9804429390681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323.6386</v>
      </c>
      <c r="CJ34" s="399">
        <v>-46.876449999999977</v>
      </c>
      <c r="CK34" s="399"/>
      <c r="CL34" s="399"/>
      <c r="CM34" s="399"/>
      <c r="CN34" s="399"/>
      <c r="CO34" s="399">
        <v>-64.446730000000002</v>
      </c>
      <c r="CP34" s="399">
        <v>15.954660000000002</v>
      </c>
      <c r="CQ34" s="399">
        <v>30</v>
      </c>
      <c r="CR34" s="399">
        <v>16.620255622496103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2.1821779105169483</v>
      </c>
      <c r="DA34" s="399">
        <v>0</v>
      </c>
      <c r="DB34" s="399">
        <v>0</v>
      </c>
      <c r="DC34" s="399">
        <v>15.954357741465159</v>
      </c>
      <c r="DD34" s="399">
        <v>0</v>
      </c>
      <c r="DE34" s="399">
        <v>0</v>
      </c>
      <c r="DF34" s="399">
        <v>0</v>
      </c>
      <c r="DG34" s="399">
        <v>0.16289816810500124</v>
      </c>
      <c r="DH34" s="399">
        <v>0</v>
      </c>
      <c r="DI34" s="399">
        <v>-1.4579435413623969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-0.17617764875063635</v>
      </c>
      <c r="DP34" s="399">
        <v>-4.5057007477965927E-2</v>
      </c>
      <c r="DQ34" s="399">
        <v>0</v>
      </c>
      <c r="DR34" s="399">
        <v>0</v>
      </c>
      <c r="DS34" s="399"/>
      <c r="DT34" s="399"/>
      <c r="DU34" s="399"/>
      <c r="DV34" s="399">
        <v>148.39975868471276</v>
      </c>
      <c r="DW34" s="399">
        <v>0</v>
      </c>
      <c r="DX34" s="399">
        <v>0</v>
      </c>
      <c r="DY34" s="399">
        <v>-64.446730000000002</v>
      </c>
      <c r="DZ34" s="399">
        <v>15.954660000000004</v>
      </c>
      <c r="EA34" s="399">
        <v>0</v>
      </c>
      <c r="EB34" s="399">
        <v>0</v>
      </c>
      <c r="EC34" s="399">
        <v>-65.113704386758528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216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954</v>
      </c>
      <c r="C35" s="399" t="s">
        <v>2352</v>
      </c>
      <c r="D35" s="399" t="s">
        <v>2363</v>
      </c>
      <c r="E35" s="399" t="s">
        <v>892</v>
      </c>
      <c r="F35" s="399" t="s">
        <v>2370</v>
      </c>
      <c r="G35" s="399" t="s">
        <v>2371</v>
      </c>
      <c r="H35" s="399" t="s">
        <v>1237</v>
      </c>
      <c r="I35" s="399" t="s">
        <v>1237</v>
      </c>
      <c r="J35" s="399" t="s">
        <v>2353</v>
      </c>
      <c r="K35" s="789">
        <v>44440</v>
      </c>
      <c r="L35" s="399">
        <v>0</v>
      </c>
      <c r="M35" s="399">
        <v>0</v>
      </c>
      <c r="N35" s="399">
        <v>0</v>
      </c>
      <c r="O35" s="399">
        <v>0</v>
      </c>
      <c r="P35" s="399">
        <v>0</v>
      </c>
      <c r="Q35" s="399">
        <v>0</v>
      </c>
      <c r="R35" s="399"/>
      <c r="S35" s="399"/>
      <c r="T35" s="399"/>
      <c r="U35" s="399"/>
      <c r="V35" s="399"/>
      <c r="W35" s="399"/>
      <c r="X35" s="399"/>
      <c r="Y35" s="399"/>
      <c r="Z35" s="399"/>
      <c r="AA35" s="399">
        <v>0</v>
      </c>
      <c r="AB35" s="399"/>
      <c r="AC35" s="399"/>
      <c r="AD35" s="399"/>
      <c r="AE35" s="399"/>
      <c r="AF35" s="399"/>
      <c r="AG35" s="399"/>
      <c r="AH35" s="399"/>
      <c r="AI35" s="399"/>
      <c r="AJ35" s="399"/>
      <c r="AK35" s="399"/>
      <c r="AL35" s="399"/>
      <c r="AM35" s="399"/>
      <c r="AN35" s="399"/>
      <c r="AO35" s="399"/>
      <c r="AP35" s="399"/>
      <c r="AQ35" s="399"/>
      <c r="AR35" s="399"/>
      <c r="AS35" s="399"/>
      <c r="AT35" s="399"/>
      <c r="AU35" s="399"/>
      <c r="AV35" s="399"/>
      <c r="AW35" s="399"/>
      <c r="AX35" s="399"/>
      <c r="AY35" s="399"/>
      <c r="AZ35" s="399">
        <v>0</v>
      </c>
      <c r="BA35" s="399"/>
      <c r="BB35" s="399"/>
      <c r="BC35" s="399"/>
      <c r="BD35" s="399"/>
      <c r="BE35" s="399"/>
      <c r="BF35" s="399"/>
      <c r="BG35" s="399"/>
      <c r="BH35" s="399"/>
      <c r="BI35" s="399">
        <v>0</v>
      </c>
      <c r="BJ35" s="399">
        <v>0</v>
      </c>
      <c r="BK35" s="399">
        <v>2366.35</v>
      </c>
      <c r="BL35" s="399">
        <v>26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/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/>
      <c r="CJ35" s="399">
        <v>-0.03</v>
      </c>
      <c r="CK35" s="399"/>
      <c r="CL35" s="399"/>
      <c r="CM35" s="399"/>
      <c r="CN35" s="399"/>
      <c r="CO35" s="399">
        <v>0</v>
      </c>
      <c r="CP35" s="399">
        <v>0</v>
      </c>
      <c r="CQ35" s="399">
        <v>30</v>
      </c>
      <c r="CR35" s="399"/>
      <c r="CS35" s="399"/>
      <c r="CT35" s="399"/>
      <c r="CU35" s="399"/>
      <c r="CV35" s="399"/>
      <c r="CW35" s="399"/>
      <c r="CX35" s="399"/>
      <c r="CY35" s="399"/>
      <c r="CZ35" s="399"/>
      <c r="DA35" s="399"/>
      <c r="DB35" s="399"/>
      <c r="DC35" s="399"/>
      <c r="DD35" s="399"/>
      <c r="DE35" s="399"/>
      <c r="DF35" s="399"/>
      <c r="DG35" s="399"/>
      <c r="DH35" s="399"/>
      <c r="DI35" s="399"/>
      <c r="DJ35" s="399"/>
      <c r="DK35" s="399">
        <v>0</v>
      </c>
      <c r="DL35" s="399"/>
      <c r="DM35" s="399"/>
      <c r="DN35" s="399"/>
      <c r="DO35" s="399"/>
      <c r="DP35" s="399"/>
      <c r="DQ35" s="399"/>
      <c r="DR35" s="399"/>
      <c r="DS35" s="399"/>
      <c r="DT35" s="399"/>
      <c r="DU35" s="399"/>
      <c r="DV35" s="399"/>
      <c r="DW35" s="399"/>
      <c r="DX35" s="399"/>
      <c r="DY35" s="399"/>
      <c r="DZ35" s="399"/>
      <c r="EA35" s="399"/>
      <c r="EB35" s="399"/>
      <c r="EC35" s="399"/>
      <c r="ED35" s="399"/>
      <c r="EE35" s="399"/>
      <c r="EF35" s="399"/>
      <c r="EG35" s="399"/>
      <c r="EH35" s="399"/>
      <c r="EI35" s="399"/>
      <c r="EJ35" s="399"/>
      <c r="EK35" s="399"/>
      <c r="EL35" s="399"/>
      <c r="EM35" s="399"/>
      <c r="EN35" s="399"/>
      <c r="EO35" s="399"/>
      <c r="EP35" s="399"/>
      <c r="EQ35" s="399"/>
      <c r="ER35" s="399"/>
      <c r="ES35" s="399"/>
      <c r="ET35" s="399"/>
      <c r="EU35" s="399"/>
      <c r="EV35" s="399">
        <v>216</v>
      </c>
      <c r="EW35" s="399"/>
      <c r="EX35" s="399"/>
      <c r="EY35" s="399"/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954</v>
      </c>
      <c r="C36" s="399" t="s">
        <v>2352</v>
      </c>
      <c r="D36" s="399" t="s">
        <v>2363</v>
      </c>
      <c r="E36" s="399" t="s">
        <v>892</v>
      </c>
      <c r="F36" s="399" t="s">
        <v>2370</v>
      </c>
      <c r="G36" s="399" t="s">
        <v>2371</v>
      </c>
      <c r="H36" s="399" t="s">
        <v>1237</v>
      </c>
      <c r="I36" s="399" t="s">
        <v>1237</v>
      </c>
      <c r="J36" s="399" t="s">
        <v>2353</v>
      </c>
      <c r="K36" s="789">
        <v>44440</v>
      </c>
      <c r="L36" s="399">
        <v>0</v>
      </c>
      <c r="M36" s="399">
        <v>0</v>
      </c>
      <c r="N36" s="399">
        <v>6.2439999999999998</v>
      </c>
      <c r="O36" s="399">
        <v>6.2439999999999998</v>
      </c>
      <c r="P36" s="399">
        <v>6.2439999999999998</v>
      </c>
      <c r="Q36" s="399">
        <v>6.2439999999999998</v>
      </c>
      <c r="R36" s="399"/>
      <c r="S36" s="399">
        <v>415.98</v>
      </c>
      <c r="T36" s="399">
        <v>215.17</v>
      </c>
      <c r="U36" s="399"/>
      <c r="V36" s="399">
        <v>3940.9005999999999</v>
      </c>
      <c r="W36" s="399">
        <v>3940.9005999999999</v>
      </c>
      <c r="X36" s="399">
        <v>3425.0837599999995</v>
      </c>
      <c r="Y36" s="399">
        <v>0</v>
      </c>
      <c r="Z36" s="399">
        <v>381.42471850010486</v>
      </c>
      <c r="AA36" s="399">
        <v>0</v>
      </c>
      <c r="AB36" s="399">
        <v>0</v>
      </c>
      <c r="AC36" s="399">
        <v>0</v>
      </c>
      <c r="AD36" s="399">
        <v>557.68646531744378</v>
      </c>
      <c r="AE36" s="399">
        <v>1578.5487107791255</v>
      </c>
      <c r="AF36" s="399">
        <v>1315.9975382786233</v>
      </c>
      <c r="AG36" s="399">
        <v>27.517148371995201</v>
      </c>
      <c r="AH36" s="399">
        <v>0</v>
      </c>
      <c r="AI36" s="399">
        <v>0</v>
      </c>
      <c r="AJ36" s="399">
        <v>0</v>
      </c>
      <c r="AK36" s="399">
        <v>0</v>
      </c>
      <c r="AL36" s="399">
        <v>58.939903055545159</v>
      </c>
      <c r="AM36" s="399"/>
      <c r="AN36" s="399">
        <v>7.3516698578795197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13.43667928788641</v>
      </c>
      <c r="BH36" s="399">
        <v>0</v>
      </c>
      <c r="BI36" s="399">
        <v>0</v>
      </c>
      <c r="BJ36" s="399">
        <v>0</v>
      </c>
      <c r="BK36" s="399">
        <v>0</v>
      </c>
      <c r="BL36" s="399">
        <v>0</v>
      </c>
      <c r="BM36" s="399"/>
      <c r="BN36" s="399"/>
      <c r="BO36" s="399"/>
      <c r="BP36" s="399"/>
      <c r="BQ36" s="399"/>
      <c r="BR36" s="399">
        <v>410.98007999999993</v>
      </c>
      <c r="BS36" s="399"/>
      <c r="BT36" s="399"/>
      <c r="BU36" s="399"/>
      <c r="BV36" s="399">
        <v>1329.4342175665097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3012.1728000000003</v>
      </c>
      <c r="CJ36" s="399">
        <v>-455.83724000000029</v>
      </c>
      <c r="CK36" s="399"/>
      <c r="CL36" s="399"/>
      <c r="CM36" s="399"/>
      <c r="CN36" s="399"/>
      <c r="CO36" s="399">
        <v>-685.52876000000015</v>
      </c>
      <c r="CP36" s="399">
        <v>169.71192000000005</v>
      </c>
      <c r="CQ36" s="399">
        <v>30</v>
      </c>
      <c r="CR36" s="399">
        <v>176.79195248188307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23.212127552415382</v>
      </c>
      <c r="DA36" s="399">
        <v>0</v>
      </c>
      <c r="DB36" s="399">
        <v>0</v>
      </c>
      <c r="DC36" s="399">
        <v>169.7087048342562</v>
      </c>
      <c r="DD36" s="399">
        <v>0</v>
      </c>
      <c r="DE36" s="399">
        <v>0</v>
      </c>
      <c r="DF36" s="399">
        <v>0</v>
      </c>
      <c r="DG36" s="399">
        <v>1.7327702924150383</v>
      </c>
      <c r="DH36" s="399">
        <v>0</v>
      </c>
      <c r="DI36" s="399">
        <v>-15.508346630778192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-1.874025960475258</v>
      </c>
      <c r="DP36" s="399">
        <v>-0.47927760594960578</v>
      </c>
      <c r="DQ36" s="399">
        <v>0</v>
      </c>
      <c r="DR36" s="399">
        <v>0</v>
      </c>
      <c r="DS36" s="399"/>
      <c r="DT36" s="399"/>
      <c r="DU36" s="399"/>
      <c r="DV36" s="399">
        <v>1578.5487107791255</v>
      </c>
      <c r="DW36" s="399">
        <v>0</v>
      </c>
      <c r="DX36" s="399">
        <v>0</v>
      </c>
      <c r="DY36" s="399">
        <v>-685.52876000000015</v>
      </c>
      <c r="DZ36" s="399">
        <v>169.71191999999996</v>
      </c>
      <c r="EA36" s="399">
        <v>0</v>
      </c>
      <c r="EB36" s="399">
        <v>0</v>
      </c>
      <c r="EC36" s="399">
        <v>-692.62345858759863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216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954</v>
      </c>
      <c r="C37" s="399" t="s">
        <v>2352</v>
      </c>
      <c r="D37" s="399" t="s">
        <v>2363</v>
      </c>
      <c r="E37" s="399" t="s">
        <v>892</v>
      </c>
      <c r="F37" s="399" t="s">
        <v>2370</v>
      </c>
      <c r="G37" s="399" t="s">
        <v>2372</v>
      </c>
      <c r="H37" s="399" t="s">
        <v>1237</v>
      </c>
      <c r="I37" s="399" t="s">
        <v>1237</v>
      </c>
      <c r="J37" s="399" t="s">
        <v>2353</v>
      </c>
      <c r="K37" s="789">
        <v>44440</v>
      </c>
      <c r="L37" s="399">
        <v>0</v>
      </c>
      <c r="M37" s="399">
        <v>0</v>
      </c>
      <c r="N37" s="399">
        <v>6.2990000000000004</v>
      </c>
      <c r="O37" s="399">
        <v>2.5196000000000001</v>
      </c>
      <c r="P37" s="399">
        <v>6.2990000000000004</v>
      </c>
      <c r="Q37" s="399">
        <v>2.5196000000000001</v>
      </c>
      <c r="R37" s="399"/>
      <c r="S37" s="399">
        <v>415.98</v>
      </c>
      <c r="T37" s="399">
        <v>215.17</v>
      </c>
      <c r="U37" s="399"/>
      <c r="V37" s="399">
        <v>3975.6138500000002</v>
      </c>
      <c r="W37" s="399">
        <v>3975.6138500000002</v>
      </c>
      <c r="X37" s="399">
        <v>3455.2534599999999</v>
      </c>
      <c r="Y37" s="399">
        <v>0</v>
      </c>
      <c r="Z37" s="399">
        <v>384.78448139528518</v>
      </c>
      <c r="AA37" s="399">
        <v>0</v>
      </c>
      <c r="AB37" s="399">
        <v>0</v>
      </c>
      <c r="AC37" s="399">
        <v>0</v>
      </c>
      <c r="AD37" s="399">
        <v>562.59882207472435</v>
      </c>
      <c r="AE37" s="399">
        <v>1592.4532878279488</v>
      </c>
      <c r="AF37" s="399">
        <v>1327.5894448457798</v>
      </c>
      <c r="AG37" s="399">
        <v>27.759531965918928</v>
      </c>
      <c r="AH37" s="399">
        <v>0</v>
      </c>
      <c r="AI37" s="399">
        <v>0</v>
      </c>
      <c r="AJ37" s="399">
        <v>0</v>
      </c>
      <c r="AK37" s="399">
        <v>0</v>
      </c>
      <c r="AL37" s="399">
        <v>59.459072605201634</v>
      </c>
      <c r="AM37" s="399"/>
      <c r="AN37" s="399">
        <v>7.4164267192157434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13.555035687763693</v>
      </c>
      <c r="BH37" s="399">
        <v>0</v>
      </c>
      <c r="BI37" s="399">
        <v>0</v>
      </c>
      <c r="BJ37" s="399">
        <v>0</v>
      </c>
      <c r="BK37" s="399">
        <v>0</v>
      </c>
      <c r="BL37" s="399">
        <v>0</v>
      </c>
      <c r="BM37" s="399"/>
      <c r="BN37" s="399"/>
      <c r="BO37" s="399"/>
      <c r="BP37" s="399"/>
      <c r="BQ37" s="399"/>
      <c r="BR37" s="399"/>
      <c r="BS37" s="399">
        <v>2238.9921480000003</v>
      </c>
      <c r="BT37" s="399"/>
      <c r="BU37" s="399"/>
      <c r="BV37" s="399">
        <v>1341.1444805335434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1216.4544000000001</v>
      </c>
      <c r="CJ37" s="399">
        <v>-182.98663599999986</v>
      </c>
      <c r="CK37" s="399"/>
      <c r="CL37" s="399"/>
      <c r="CM37" s="399"/>
      <c r="CN37" s="399"/>
      <c r="CO37" s="399">
        <v>-691.56721000000016</v>
      </c>
      <c r="CP37" s="399">
        <v>171.20682000000005</v>
      </c>
      <c r="CQ37" s="399">
        <v>30</v>
      </c>
      <c r="CR37" s="399">
        <v>178.34921663731348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23.416590559363271</v>
      </c>
      <c r="DA37" s="399">
        <v>0</v>
      </c>
      <c r="DB37" s="399">
        <v>0</v>
      </c>
      <c r="DC37" s="399">
        <v>171.20357651360996</v>
      </c>
      <c r="DD37" s="399">
        <v>0</v>
      </c>
      <c r="DE37" s="399">
        <v>0</v>
      </c>
      <c r="DF37" s="399">
        <v>0</v>
      </c>
      <c r="DG37" s="399">
        <v>1.7480333234981309</v>
      </c>
      <c r="DH37" s="399">
        <v>0</v>
      </c>
      <c r="DI37" s="399">
        <v>-15.644951221536189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-1.8905332359118603</v>
      </c>
      <c r="DP37" s="399">
        <v>-0.48349930170989275</v>
      </c>
      <c r="DQ37" s="399">
        <v>0</v>
      </c>
      <c r="DR37" s="399">
        <v>0</v>
      </c>
      <c r="DS37" s="399"/>
      <c r="DT37" s="399"/>
      <c r="DU37" s="399"/>
      <c r="DV37" s="399">
        <v>1592.4532878279488</v>
      </c>
      <c r="DW37" s="399">
        <v>0</v>
      </c>
      <c r="DX37" s="399">
        <v>0</v>
      </c>
      <c r="DY37" s="399">
        <v>-691.56721000000016</v>
      </c>
      <c r="DZ37" s="399">
        <v>171.20682000000011</v>
      </c>
      <c r="EA37" s="399">
        <v>0</v>
      </c>
      <c r="EB37" s="399">
        <v>0</v>
      </c>
      <c r="EC37" s="399">
        <v>-698.72440192877707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216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954</v>
      </c>
      <c r="C38" s="399" t="s">
        <v>2352</v>
      </c>
      <c r="D38" s="399" t="s">
        <v>2363</v>
      </c>
      <c r="E38" s="399" t="s">
        <v>892</v>
      </c>
      <c r="F38" s="399" t="s">
        <v>2373</v>
      </c>
      <c r="G38" s="399" t="s">
        <v>2371</v>
      </c>
      <c r="H38" s="399" t="s">
        <v>1237</v>
      </c>
      <c r="I38" s="399" t="s">
        <v>1237</v>
      </c>
      <c r="J38" s="399" t="s">
        <v>2353</v>
      </c>
      <c r="K38" s="789">
        <v>44440</v>
      </c>
      <c r="L38" s="399">
        <v>0</v>
      </c>
      <c r="M38" s="399">
        <v>0</v>
      </c>
      <c r="N38" s="399">
        <v>0</v>
      </c>
      <c r="O38" s="399">
        <v>0</v>
      </c>
      <c r="P38" s="399">
        <v>0</v>
      </c>
      <c r="Q38" s="399">
        <v>0</v>
      </c>
      <c r="R38" s="399"/>
      <c r="S38" s="399"/>
      <c r="T38" s="399"/>
      <c r="U38" s="399"/>
      <c r="V38" s="399"/>
      <c r="W38" s="399"/>
      <c r="X38" s="399"/>
      <c r="Y38" s="399"/>
      <c r="Z38" s="399"/>
      <c r="AA38" s="399">
        <v>0</v>
      </c>
      <c r="AB38" s="399"/>
      <c r="AC38" s="399"/>
      <c r="AD38" s="399"/>
      <c r="AE38" s="399"/>
      <c r="AF38" s="399"/>
      <c r="AG38" s="399"/>
      <c r="AH38" s="399"/>
      <c r="AI38" s="399"/>
      <c r="AJ38" s="399"/>
      <c r="AK38" s="399"/>
      <c r="AL38" s="399"/>
      <c r="AM38" s="399"/>
      <c r="AN38" s="399"/>
      <c r="AO38" s="399"/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>
        <v>0</v>
      </c>
      <c r="BA38" s="399"/>
      <c r="BB38" s="399"/>
      <c r="BC38" s="399"/>
      <c r="BD38" s="399"/>
      <c r="BE38" s="399"/>
      <c r="BF38" s="399"/>
      <c r="BG38" s="399"/>
      <c r="BH38" s="399"/>
      <c r="BI38" s="399">
        <v>0</v>
      </c>
      <c r="BJ38" s="399">
        <v>0</v>
      </c>
      <c r="BK38" s="399">
        <v>185.23</v>
      </c>
      <c r="BL38" s="399">
        <v>2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/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/>
      <c r="CJ38" s="399">
        <v>-0.03</v>
      </c>
      <c r="CK38" s="399"/>
      <c r="CL38" s="399"/>
      <c r="CM38" s="399"/>
      <c r="CN38" s="399"/>
      <c r="CO38" s="399">
        <v>0</v>
      </c>
      <c r="CP38" s="399">
        <v>0</v>
      </c>
      <c r="CQ38" s="399">
        <v>30</v>
      </c>
      <c r="CR38" s="399"/>
      <c r="CS38" s="399"/>
      <c r="CT38" s="399"/>
      <c r="CU38" s="399"/>
      <c r="CV38" s="399"/>
      <c r="CW38" s="399"/>
      <c r="CX38" s="399"/>
      <c r="CY38" s="399"/>
      <c r="CZ38" s="399"/>
      <c r="DA38" s="399"/>
      <c r="DB38" s="399"/>
      <c r="DC38" s="399"/>
      <c r="DD38" s="399"/>
      <c r="DE38" s="399"/>
      <c r="DF38" s="399"/>
      <c r="DG38" s="399"/>
      <c r="DH38" s="399"/>
      <c r="DI38" s="399"/>
      <c r="DJ38" s="399"/>
      <c r="DK38" s="399">
        <v>0</v>
      </c>
      <c r="DL38" s="399"/>
      <c r="DM38" s="399"/>
      <c r="DN38" s="399"/>
      <c r="DO38" s="399"/>
      <c r="DP38" s="399"/>
      <c r="DQ38" s="399"/>
      <c r="DR38" s="399"/>
      <c r="DS38" s="399"/>
      <c r="DT38" s="399"/>
      <c r="DU38" s="399"/>
      <c r="DV38" s="399"/>
      <c r="DW38" s="399"/>
      <c r="DX38" s="399"/>
      <c r="DY38" s="399"/>
      <c r="DZ38" s="399"/>
      <c r="EA38" s="399"/>
      <c r="EB38" s="399"/>
      <c r="EC38" s="399"/>
      <c r="ED38" s="399"/>
      <c r="EE38" s="399"/>
      <c r="EF38" s="399"/>
      <c r="EG38" s="399"/>
      <c r="EH38" s="399"/>
      <c r="EI38" s="399"/>
      <c r="EJ38" s="399"/>
      <c r="EK38" s="399"/>
      <c r="EL38" s="399"/>
      <c r="EM38" s="399"/>
      <c r="EN38" s="399"/>
      <c r="EO38" s="399"/>
      <c r="EP38" s="399"/>
      <c r="EQ38" s="399"/>
      <c r="ER38" s="399"/>
      <c r="ES38" s="399"/>
      <c r="ET38" s="399"/>
      <c r="EU38" s="399"/>
      <c r="EV38" s="399">
        <v>216</v>
      </c>
      <c r="EW38" s="399"/>
      <c r="EX38" s="399"/>
      <c r="EY38" s="399"/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954</v>
      </c>
      <c r="C39" s="399" t="s">
        <v>2352</v>
      </c>
      <c r="D39" s="399" t="s">
        <v>2363</v>
      </c>
      <c r="E39" s="399" t="s">
        <v>892</v>
      </c>
      <c r="F39" s="399" t="s">
        <v>2373</v>
      </c>
      <c r="G39" s="399" t="s">
        <v>2371</v>
      </c>
      <c r="H39" s="399" t="s">
        <v>1237</v>
      </c>
      <c r="I39" s="399" t="s">
        <v>1237</v>
      </c>
      <c r="J39" s="399" t="s">
        <v>2353</v>
      </c>
      <c r="K39" s="789">
        <v>44440</v>
      </c>
      <c r="L39" s="399">
        <v>0</v>
      </c>
      <c r="M39" s="399">
        <v>0</v>
      </c>
      <c r="N39" s="399">
        <v>0.24399999999999999</v>
      </c>
      <c r="O39" s="399">
        <v>0.24399999999999999</v>
      </c>
      <c r="P39" s="399">
        <v>0.24399999999999999</v>
      </c>
      <c r="Q39" s="399">
        <v>0.24399999999999999</v>
      </c>
      <c r="R39" s="399"/>
      <c r="S39" s="399">
        <v>415.98</v>
      </c>
      <c r="T39" s="399">
        <v>215.17</v>
      </c>
      <c r="U39" s="399"/>
      <c r="V39" s="399">
        <v>154.00059999999999</v>
      </c>
      <c r="W39" s="399">
        <v>154.00059999999999</v>
      </c>
      <c r="X39" s="399">
        <v>133.84375999999997</v>
      </c>
      <c r="Y39" s="399">
        <v>0</v>
      </c>
      <c r="Z39" s="399">
        <v>14.905129934981677</v>
      </c>
      <c r="AA39" s="399">
        <v>0</v>
      </c>
      <c r="AB39" s="399">
        <v>0</v>
      </c>
      <c r="AC39" s="399">
        <v>0</v>
      </c>
      <c r="AD39" s="399">
        <v>21.793000886844375</v>
      </c>
      <c r="AE39" s="399">
        <v>61.685759998415534</v>
      </c>
      <c r="AF39" s="399">
        <v>51.425912770657284</v>
      </c>
      <c r="AG39" s="399">
        <v>1.0753017621343417</v>
      </c>
      <c r="AH39" s="399">
        <v>0</v>
      </c>
      <c r="AI39" s="399">
        <v>0</v>
      </c>
      <c r="AJ39" s="399">
        <v>0</v>
      </c>
      <c r="AK39" s="399">
        <v>0</v>
      </c>
      <c r="AL39" s="399">
        <v>2.3032249112032379</v>
      </c>
      <c r="AM39" s="399"/>
      <c r="AN39" s="399">
        <v>0.28728498483706005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0.52507202854649004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>
        <v>16.060079999999999</v>
      </c>
      <c r="BS39" s="399"/>
      <c r="BT39" s="399"/>
      <c r="BU39" s="399"/>
      <c r="BV39" s="399">
        <v>51.950984799203773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115.8528</v>
      </c>
      <c r="CJ39" s="399">
        <v>-19.697239999999994</v>
      </c>
      <c r="CK39" s="399"/>
      <c r="CL39" s="399"/>
      <c r="CM39" s="399"/>
      <c r="CN39" s="399"/>
      <c r="CO39" s="399">
        <v>-26.788760000000003</v>
      </c>
      <c r="CP39" s="399">
        <v>6.6319200000000018</v>
      </c>
      <c r="CQ39" s="399">
        <v>30</v>
      </c>
      <c r="CR39" s="399">
        <v>6.9085900713612318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0.907072249005342</v>
      </c>
      <c r="DA39" s="399">
        <v>0</v>
      </c>
      <c r="DB39" s="399">
        <v>0</v>
      </c>
      <c r="DC39" s="399">
        <v>6.6317943593143056</v>
      </c>
      <c r="DD39" s="399">
        <v>0</v>
      </c>
      <c r="DE39" s="399">
        <v>0</v>
      </c>
      <c r="DF39" s="399">
        <v>0</v>
      </c>
      <c r="DG39" s="399">
        <v>6.771235607771775E-2</v>
      </c>
      <c r="DH39" s="399">
        <v>0</v>
      </c>
      <c r="DI39" s="399">
        <v>-0.60602763899902001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-7.3232276482376957E-2</v>
      </c>
      <c r="DP39" s="399">
        <v>-1.872897755472519E-2</v>
      </c>
      <c r="DQ39" s="399">
        <v>0</v>
      </c>
      <c r="DR39" s="399">
        <v>0</v>
      </c>
      <c r="DS39" s="399"/>
      <c r="DT39" s="399"/>
      <c r="DU39" s="399"/>
      <c r="DV39" s="399">
        <v>61.685759998415534</v>
      </c>
      <c r="DW39" s="399">
        <v>0</v>
      </c>
      <c r="DX39" s="399">
        <v>0</v>
      </c>
      <c r="DY39" s="399">
        <v>-26.788760000000011</v>
      </c>
      <c r="DZ39" s="399">
        <v>6.6319200000000009</v>
      </c>
      <c r="EA39" s="399">
        <v>0</v>
      </c>
      <c r="EB39" s="399">
        <v>0</v>
      </c>
      <c r="EC39" s="399">
        <v>-27.06600318631871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216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954</v>
      </c>
      <c r="C40" s="399" t="s">
        <v>2352</v>
      </c>
      <c r="D40" s="399" t="s">
        <v>2363</v>
      </c>
      <c r="E40" s="399" t="s">
        <v>892</v>
      </c>
      <c r="F40" s="399" t="s">
        <v>2373</v>
      </c>
      <c r="G40" s="399" t="s">
        <v>2372</v>
      </c>
      <c r="H40" s="399" t="s">
        <v>1237</v>
      </c>
      <c r="I40" s="399" t="s">
        <v>1237</v>
      </c>
      <c r="J40" s="399" t="s">
        <v>2353</v>
      </c>
      <c r="K40" s="789">
        <v>44440</v>
      </c>
      <c r="L40" s="399">
        <v>0</v>
      </c>
      <c r="M40" s="399">
        <v>0</v>
      </c>
      <c r="N40" s="399">
        <v>0.97499999999999998</v>
      </c>
      <c r="O40" s="399">
        <v>0.39</v>
      </c>
      <c r="P40" s="399">
        <v>0.97499999999999998</v>
      </c>
      <c r="Q40" s="399">
        <v>0.39</v>
      </c>
      <c r="R40" s="399"/>
      <c r="S40" s="399">
        <v>415.98</v>
      </c>
      <c r="T40" s="399">
        <v>215.17</v>
      </c>
      <c r="U40" s="399"/>
      <c r="V40" s="399">
        <v>615.37125000000003</v>
      </c>
      <c r="W40" s="399">
        <v>615.37125000000003</v>
      </c>
      <c r="X40" s="399">
        <v>534.82650000000001</v>
      </c>
      <c r="Y40" s="399">
        <v>0</v>
      </c>
      <c r="Z40" s="399">
        <v>59.559433141832521</v>
      </c>
      <c r="AA40" s="399">
        <v>0</v>
      </c>
      <c r="AB40" s="399">
        <v>0</v>
      </c>
      <c r="AC40" s="399">
        <v>0</v>
      </c>
      <c r="AD40" s="399">
        <v>87.082687969972397</v>
      </c>
      <c r="AE40" s="399">
        <v>246.49022950186534</v>
      </c>
      <c r="AF40" s="399">
        <v>205.49288914504447</v>
      </c>
      <c r="AG40" s="399">
        <v>4.2968000741023893</v>
      </c>
      <c r="AH40" s="399">
        <v>0</v>
      </c>
      <c r="AI40" s="399">
        <v>0</v>
      </c>
      <c r="AJ40" s="399">
        <v>0</v>
      </c>
      <c r="AK40" s="399">
        <v>0</v>
      </c>
      <c r="AL40" s="399">
        <v>9.2034601984555628</v>
      </c>
      <c r="AM40" s="399"/>
      <c r="AN40" s="399">
        <v>1.1479625418693997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2.0981361796427369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>
        <v>346.56569999999999</v>
      </c>
      <c r="BT40" s="399"/>
      <c r="BU40" s="399"/>
      <c r="BV40" s="399">
        <v>207.59102532468722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188.26080000000002</v>
      </c>
      <c r="CJ40" s="399">
        <v>-28.379099999999994</v>
      </c>
      <c r="CK40" s="399"/>
      <c r="CL40" s="399"/>
      <c r="CM40" s="399"/>
      <c r="CN40" s="399"/>
      <c r="CO40" s="399">
        <v>-107.04525000000002</v>
      </c>
      <c r="CP40" s="399">
        <v>26.500500000000006</v>
      </c>
      <c r="CQ40" s="399">
        <v>30</v>
      </c>
      <c r="CR40" s="399">
        <v>27.606046391709867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3.624571486804129</v>
      </c>
      <c r="DA40" s="399">
        <v>0</v>
      </c>
      <c r="DB40" s="399">
        <v>0</v>
      </c>
      <c r="DC40" s="399">
        <v>26.499997952178063</v>
      </c>
      <c r="DD40" s="399">
        <v>0</v>
      </c>
      <c r="DE40" s="399">
        <v>0</v>
      </c>
      <c r="DF40" s="399">
        <v>0</v>
      </c>
      <c r="DG40" s="399">
        <v>0.27057191465481489</v>
      </c>
      <c r="DH40" s="399">
        <v>0</v>
      </c>
      <c r="DI40" s="399">
        <v>-2.4216268361641227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-0.29262897364884388</v>
      </c>
      <c r="DP40" s="399">
        <v>-7.4839152114168028E-2</v>
      </c>
      <c r="DQ40" s="399">
        <v>0</v>
      </c>
      <c r="DR40" s="399">
        <v>0</v>
      </c>
      <c r="DS40" s="399"/>
      <c r="DT40" s="399"/>
      <c r="DU40" s="399"/>
      <c r="DV40" s="399">
        <v>246.49022950186534</v>
      </c>
      <c r="DW40" s="399">
        <v>0</v>
      </c>
      <c r="DX40" s="399">
        <v>0</v>
      </c>
      <c r="DY40" s="399">
        <v>-107.04525000000001</v>
      </c>
      <c r="DZ40" s="399">
        <v>26.500500000000017</v>
      </c>
      <c r="EA40" s="399">
        <v>0</v>
      </c>
      <c r="EB40" s="399">
        <v>0</v>
      </c>
      <c r="EC40" s="399">
        <v>-108.15308650270796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216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954</v>
      </c>
      <c r="C41" s="399" t="s">
        <v>2352</v>
      </c>
      <c r="D41" s="399" t="s">
        <v>1821</v>
      </c>
      <c r="E41" s="399" t="s">
        <v>887</v>
      </c>
      <c r="F41" s="399" t="s">
        <v>887</v>
      </c>
      <c r="G41" s="399" t="s">
        <v>1237</v>
      </c>
      <c r="H41" s="399" t="s">
        <v>1237</v>
      </c>
      <c r="I41" s="399" t="s">
        <v>1237</v>
      </c>
      <c r="J41" s="399" t="s">
        <v>2353</v>
      </c>
      <c r="K41" s="789">
        <v>44470</v>
      </c>
      <c r="L41" s="399">
        <v>0</v>
      </c>
      <c r="M41" s="399">
        <v>0</v>
      </c>
      <c r="N41" s="399">
        <v>455.92</v>
      </c>
      <c r="O41" s="399">
        <v>455.92</v>
      </c>
      <c r="P41" s="399">
        <v>455.92</v>
      </c>
      <c r="Q41" s="399">
        <v>455.92</v>
      </c>
      <c r="R41" s="399"/>
      <c r="S41" s="399">
        <v>415.98</v>
      </c>
      <c r="T41" s="399">
        <v>215.17</v>
      </c>
      <c r="U41" s="399"/>
      <c r="V41" s="399">
        <v>287753.90800000005</v>
      </c>
      <c r="W41" s="399">
        <v>287753.90800000005</v>
      </c>
      <c r="X41" s="399">
        <v>250090.35680000001</v>
      </c>
      <c r="Y41" s="399">
        <v>0</v>
      </c>
      <c r="Z41" s="399">
        <v>27850.601803101832</v>
      </c>
      <c r="AA41" s="399">
        <v>0</v>
      </c>
      <c r="AB41" s="399">
        <v>0</v>
      </c>
      <c r="AC41" s="399">
        <v>0</v>
      </c>
      <c r="AD41" s="399">
        <v>40720.75805053315</v>
      </c>
      <c r="AE41" s="399">
        <v>115261.35941999021</v>
      </c>
      <c r="AF41" s="399">
        <v>96090.582583598647</v>
      </c>
      <c r="AG41" s="399">
        <v>2009.2277843946274</v>
      </c>
      <c r="AH41" s="399">
        <v>0</v>
      </c>
      <c r="AI41" s="399">
        <v>0</v>
      </c>
      <c r="AJ41" s="399">
        <v>0</v>
      </c>
      <c r="AK41" s="399">
        <v>0</v>
      </c>
      <c r="AL41" s="399">
        <v>4303.6323832613953</v>
      </c>
      <c r="AM41" s="399"/>
      <c r="AN41" s="399">
        <v>536.79905855291975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981.10999694637599</v>
      </c>
      <c r="BH41" s="399">
        <v>0</v>
      </c>
      <c r="BI41" s="399">
        <v>0</v>
      </c>
      <c r="BJ41" s="399">
        <v>0</v>
      </c>
      <c r="BK41" s="399">
        <v>63874.79</v>
      </c>
      <c r="BL41" s="399">
        <v>2831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97071.69258054503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250090.35680000001</v>
      </c>
      <c r="CJ41" s="399">
        <v>-37663.581200000073</v>
      </c>
      <c r="CK41" s="399"/>
      <c r="CL41" s="399"/>
      <c r="CM41" s="399"/>
      <c r="CN41" s="399"/>
      <c r="CO41" s="399">
        <v>-50055.456800000014</v>
      </c>
      <c r="CP41" s="399">
        <v>12391.905600000004</v>
      </c>
      <c r="CQ41" s="399">
        <v>31</v>
      </c>
      <c r="CR41" s="399">
        <v>12908.870431700867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1694.8868023217801</v>
      </c>
      <c r="DA41" s="399">
        <v>0</v>
      </c>
      <c r="DB41" s="399">
        <v>0</v>
      </c>
      <c r="DC41" s="399">
        <v>12391.670837289261</v>
      </c>
      <c r="DD41" s="399">
        <v>0</v>
      </c>
      <c r="DE41" s="399">
        <v>0</v>
      </c>
      <c r="DF41" s="399">
        <v>0</v>
      </c>
      <c r="DG41" s="399">
        <v>126.52220238915197</v>
      </c>
      <c r="DH41" s="399">
        <v>0</v>
      </c>
      <c r="DI41" s="399">
        <v>-1132.3775457886622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-136.83630940100556</v>
      </c>
      <c r="DP41" s="399">
        <v>-34.995555109632335</v>
      </c>
      <c r="DQ41" s="399">
        <v>0</v>
      </c>
      <c r="DR41" s="399">
        <v>0</v>
      </c>
      <c r="DS41" s="399"/>
      <c r="DT41" s="399"/>
      <c r="DU41" s="399"/>
      <c r="DV41" s="399">
        <v>115261.35941999021</v>
      </c>
      <c r="DW41" s="399">
        <v>0</v>
      </c>
      <c r="DX41" s="399">
        <v>0</v>
      </c>
      <c r="DY41" s="399">
        <v>-50055.456800000014</v>
      </c>
      <c r="DZ41" s="399">
        <v>12391.905599999998</v>
      </c>
      <c r="EA41" s="399">
        <v>0</v>
      </c>
      <c r="EB41" s="399">
        <v>0</v>
      </c>
      <c r="EC41" s="399">
        <v>-50573.492511091921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216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2354</v>
      </c>
      <c r="C42" s="399" t="s">
        <v>2352</v>
      </c>
      <c r="D42" s="399" t="s">
        <v>1821</v>
      </c>
      <c r="E42" s="399" t="s">
        <v>887</v>
      </c>
      <c r="F42" s="399" t="s">
        <v>887</v>
      </c>
      <c r="G42" s="399" t="s">
        <v>1237</v>
      </c>
      <c r="H42" s="399" t="s">
        <v>1237</v>
      </c>
      <c r="I42" s="399" t="s">
        <v>1237</v>
      </c>
      <c r="J42" s="399" t="s">
        <v>2353</v>
      </c>
      <c r="K42" s="789">
        <v>44470</v>
      </c>
      <c r="L42" s="399">
        <v>0</v>
      </c>
      <c r="M42" s="399">
        <v>0</v>
      </c>
      <c r="N42" s="399">
        <v>-1.002</v>
      </c>
      <c r="O42" s="399">
        <v>-1.002</v>
      </c>
      <c r="P42" s="399">
        <v>-1.002</v>
      </c>
      <c r="Q42" s="399">
        <v>-1.002</v>
      </c>
      <c r="R42" s="399"/>
      <c r="S42" s="399">
        <v>415.98</v>
      </c>
      <c r="T42" s="399">
        <v>215.17</v>
      </c>
      <c r="U42" s="399"/>
      <c r="V42" s="399">
        <v>-632.41229999999996</v>
      </c>
      <c r="W42" s="399">
        <v>-632.41229999999996</v>
      </c>
      <c r="X42" s="399">
        <v>-549.63707999999997</v>
      </c>
      <c r="Y42" s="399">
        <v>0</v>
      </c>
      <c r="Z42" s="399">
        <v>-61.20877129037558</v>
      </c>
      <c r="AA42" s="399">
        <v>0</v>
      </c>
      <c r="AB42" s="399">
        <v>0</v>
      </c>
      <c r="AC42" s="399">
        <v>0</v>
      </c>
      <c r="AD42" s="399">
        <v>-89.494208559910106</v>
      </c>
      <c r="AE42" s="399">
        <v>-253.31611278037855</v>
      </c>
      <c r="AF42" s="399">
        <v>-211.18346145983034</v>
      </c>
      <c r="AG42" s="399">
        <v>-4.4157883838467633</v>
      </c>
      <c r="AH42" s="399">
        <v>0</v>
      </c>
      <c r="AI42" s="399">
        <v>0</v>
      </c>
      <c r="AJ42" s="399">
        <v>0</v>
      </c>
      <c r="AK42" s="399">
        <v>0</v>
      </c>
      <c r="AL42" s="399">
        <v>-9.4583252501051014</v>
      </c>
      <c r="AM42" s="399"/>
      <c r="AN42" s="399">
        <v>-1.1797522737980908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-2.1562384123097664</v>
      </c>
      <c r="BH42" s="399">
        <v>0</v>
      </c>
      <c r="BI42" s="399">
        <v>0</v>
      </c>
      <c r="BJ42" s="399">
        <v>0</v>
      </c>
      <c r="BK42" s="399">
        <v>-244.96</v>
      </c>
      <c r="BL42" s="399">
        <v>0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-213.3396998721401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-548.54</v>
      </c>
      <c r="CJ42" s="399">
        <v>83.842300000000023</v>
      </c>
      <c r="CK42" s="399"/>
      <c r="CL42" s="399"/>
      <c r="CM42" s="399"/>
      <c r="CN42" s="399"/>
      <c r="CO42" s="399">
        <v>110.00958000000001</v>
      </c>
      <c r="CP42" s="399">
        <v>-27.234360000000006</v>
      </c>
      <c r="CQ42" s="399">
        <v>31</v>
      </c>
      <c r="CR42" s="399">
        <v>-28.370521522557226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-3.7249442356694686</v>
      </c>
      <c r="DA42" s="399">
        <v>0</v>
      </c>
      <c r="DB42" s="399">
        <v>0</v>
      </c>
      <c r="DC42" s="399">
        <v>-27.233844049315309</v>
      </c>
      <c r="DD42" s="399">
        <v>0</v>
      </c>
      <c r="DE42" s="399">
        <v>0</v>
      </c>
      <c r="DF42" s="399">
        <v>0</v>
      </c>
      <c r="DG42" s="399">
        <v>-0.2780646753683329</v>
      </c>
      <c r="DH42" s="399">
        <v>0</v>
      </c>
      <c r="DI42" s="399">
        <v>2.4886872716271284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0.30073254522681125</v>
      </c>
      <c r="DP42" s="399">
        <v>7.6911620941944925E-2</v>
      </c>
      <c r="DQ42" s="399">
        <v>0</v>
      </c>
      <c r="DR42" s="399">
        <v>0</v>
      </c>
      <c r="DS42" s="399"/>
      <c r="DT42" s="399"/>
      <c r="DU42" s="399"/>
      <c r="DV42" s="399">
        <v>-253.31611278037855</v>
      </c>
      <c r="DW42" s="399">
        <v>0</v>
      </c>
      <c r="DX42" s="399">
        <v>0</v>
      </c>
      <c r="DY42" s="399">
        <v>110.00958000000003</v>
      </c>
      <c r="DZ42" s="399">
        <v>-27.234360000000009</v>
      </c>
      <c r="EA42" s="399">
        <v>0</v>
      </c>
      <c r="EB42" s="399">
        <v>0</v>
      </c>
      <c r="EC42" s="399">
        <v>111.14809505201373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216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2355</v>
      </c>
      <c r="C43" s="399" t="s">
        <v>2352</v>
      </c>
      <c r="D43" s="399" t="s">
        <v>1821</v>
      </c>
      <c r="E43" s="399" t="s">
        <v>887</v>
      </c>
      <c r="F43" s="399" t="s">
        <v>887</v>
      </c>
      <c r="G43" s="399" t="s">
        <v>1237</v>
      </c>
      <c r="H43" s="399" t="s">
        <v>1237</v>
      </c>
      <c r="I43" s="399" t="s">
        <v>1237</v>
      </c>
      <c r="J43" s="399" t="s">
        <v>2353</v>
      </c>
      <c r="K43" s="789">
        <v>44470</v>
      </c>
      <c r="L43" s="399">
        <v>0</v>
      </c>
      <c r="M43" s="399">
        <v>0</v>
      </c>
      <c r="N43" s="399">
        <v>1.962</v>
      </c>
      <c r="O43" s="399">
        <v>1.962</v>
      </c>
      <c r="P43" s="399">
        <v>1.962</v>
      </c>
      <c r="Q43" s="399">
        <v>1.962</v>
      </c>
      <c r="R43" s="399"/>
      <c r="S43" s="399">
        <v>415.98</v>
      </c>
      <c r="T43" s="399">
        <v>215.17</v>
      </c>
      <c r="U43" s="399"/>
      <c r="V43" s="399">
        <v>1238.3163</v>
      </c>
      <c r="W43" s="399">
        <v>1238.3163</v>
      </c>
      <c r="X43" s="399">
        <v>1076.2354800000001</v>
      </c>
      <c r="Y43" s="399">
        <v>0</v>
      </c>
      <c r="Z43" s="399">
        <v>119.85190546079529</v>
      </c>
      <c r="AA43" s="399">
        <v>0</v>
      </c>
      <c r="AB43" s="399">
        <v>0</v>
      </c>
      <c r="AC43" s="399">
        <v>0</v>
      </c>
      <c r="AD43" s="399">
        <v>175.237162868806</v>
      </c>
      <c r="AE43" s="399">
        <v>496.01418490529215</v>
      </c>
      <c r="AF43" s="399">
        <v>413.51492154110491</v>
      </c>
      <c r="AG43" s="399">
        <v>8.6464838414245015</v>
      </c>
      <c r="AH43" s="399">
        <v>0</v>
      </c>
      <c r="AI43" s="399">
        <v>0</v>
      </c>
      <c r="AJ43" s="399">
        <v>0</v>
      </c>
      <c r="AK43" s="399">
        <v>0</v>
      </c>
      <c r="AL43" s="399">
        <v>18.520193753199809</v>
      </c>
      <c r="AM43" s="399"/>
      <c r="AN43" s="399">
        <v>2.3100538534848845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4.2220955738041539</v>
      </c>
      <c r="BH43" s="399">
        <v>0</v>
      </c>
      <c r="BI43" s="399">
        <v>0</v>
      </c>
      <c r="BJ43" s="399">
        <v>0</v>
      </c>
      <c r="BK43" s="399">
        <v>711.49</v>
      </c>
      <c r="BL43" s="399">
        <v>16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417.73701711490907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1075.1383999999998</v>
      </c>
      <c r="CJ43" s="399">
        <v>-163.20790000000011</v>
      </c>
      <c r="CK43" s="399"/>
      <c r="CL43" s="399"/>
      <c r="CM43" s="399"/>
      <c r="CN43" s="399"/>
      <c r="CO43" s="399">
        <v>-215.40798000000004</v>
      </c>
      <c r="CP43" s="399">
        <v>53.327160000000013</v>
      </c>
      <c r="CQ43" s="399">
        <v>31</v>
      </c>
      <c r="CR43" s="399">
        <v>55.551859508240796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7.2937530842150977</v>
      </c>
      <c r="DA43" s="399">
        <v>0</v>
      </c>
      <c r="DB43" s="399">
        <v>0</v>
      </c>
      <c r="DC43" s="399">
        <v>53.326149725305982</v>
      </c>
      <c r="DD43" s="399">
        <v>0</v>
      </c>
      <c r="DE43" s="399">
        <v>0</v>
      </c>
      <c r="DF43" s="399">
        <v>0</v>
      </c>
      <c r="DG43" s="399">
        <v>0.54447394518230396</v>
      </c>
      <c r="DH43" s="399">
        <v>0</v>
      </c>
      <c r="DI43" s="399">
        <v>-4.873058310311805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-0.58885953466567287</v>
      </c>
      <c r="DP43" s="399">
        <v>-0.15059940148512618</v>
      </c>
      <c r="DQ43" s="399">
        <v>0</v>
      </c>
      <c r="DR43" s="399">
        <v>0</v>
      </c>
      <c r="DS43" s="399"/>
      <c r="DT43" s="399"/>
      <c r="DU43" s="399"/>
      <c r="DV43" s="399">
        <v>496.01418490529215</v>
      </c>
      <c r="DW43" s="399">
        <v>0</v>
      </c>
      <c r="DX43" s="399">
        <v>0</v>
      </c>
      <c r="DY43" s="399">
        <v>-215.40798000000007</v>
      </c>
      <c r="DZ43" s="399">
        <v>53.327160000000049</v>
      </c>
      <c r="EA43" s="399">
        <v>0</v>
      </c>
      <c r="EB43" s="399">
        <v>0</v>
      </c>
      <c r="EC43" s="399">
        <v>-217.63728791621855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216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954</v>
      </c>
      <c r="C44" s="399" t="s">
        <v>2352</v>
      </c>
      <c r="D44" s="399" t="s">
        <v>1821</v>
      </c>
      <c r="E44" s="399" t="s">
        <v>887</v>
      </c>
      <c r="F44" s="399" t="s">
        <v>2356</v>
      </c>
      <c r="G44" s="399" t="s">
        <v>1237</v>
      </c>
      <c r="H44" s="399" t="s">
        <v>1237</v>
      </c>
      <c r="I44" s="399" t="s">
        <v>1237</v>
      </c>
      <c r="J44" s="399" t="s">
        <v>2353</v>
      </c>
      <c r="K44" s="789">
        <v>44470</v>
      </c>
      <c r="L44" s="399">
        <v>0</v>
      </c>
      <c r="M44" s="399">
        <v>0</v>
      </c>
      <c r="N44" s="399">
        <v>5.16</v>
      </c>
      <c r="O44" s="399">
        <v>5.16</v>
      </c>
      <c r="P44" s="399">
        <v>5.16</v>
      </c>
      <c r="Q44" s="399">
        <v>5.16</v>
      </c>
      <c r="R44" s="399"/>
      <c r="S44" s="399">
        <v>345.46</v>
      </c>
      <c r="T44" s="399">
        <v>215.17</v>
      </c>
      <c r="U44" s="399"/>
      <c r="V44" s="399">
        <v>2892.8508000000002</v>
      </c>
      <c r="W44" s="399">
        <v>2892.8508000000002</v>
      </c>
      <c r="X44" s="399">
        <v>2480.9279999999999</v>
      </c>
      <c r="Y44" s="399">
        <v>0</v>
      </c>
      <c r="Z44" s="399">
        <v>0</v>
      </c>
      <c r="AA44" s="399">
        <v>0</v>
      </c>
      <c r="AB44" s="399">
        <v>0</v>
      </c>
      <c r="AC44" s="399">
        <v>0</v>
      </c>
      <c r="AD44" s="399">
        <v>460.86837941031553</v>
      </c>
      <c r="AE44" s="399">
        <v>1304.5021376714105</v>
      </c>
      <c r="AF44" s="399">
        <v>1087.5315979368509</v>
      </c>
      <c r="AG44" s="399">
        <v>22.739988084480341</v>
      </c>
      <c r="AH44" s="399">
        <v>0</v>
      </c>
      <c r="AI44" s="399">
        <v>0</v>
      </c>
      <c r="AJ44" s="399">
        <v>0</v>
      </c>
      <c r="AK44" s="399">
        <v>0</v>
      </c>
      <c r="AL44" s="399">
        <v>0</v>
      </c>
      <c r="AM44" s="399"/>
      <c r="AN44" s="399">
        <v>6.0753709908165154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11.103982243032331</v>
      </c>
      <c r="BH44" s="399">
        <v>0</v>
      </c>
      <c r="BI44" s="399">
        <v>0</v>
      </c>
      <c r="BJ44" s="399">
        <v>0</v>
      </c>
      <c r="BK44" s="399">
        <v>130.22999999999999</v>
      </c>
      <c r="BL44" s="399">
        <v>7</v>
      </c>
      <c r="BM44" s="399"/>
      <c r="BN44" s="399"/>
      <c r="BO44" s="399"/>
      <c r="BP44" s="399"/>
      <c r="BQ44" s="399"/>
      <c r="BR44" s="399"/>
      <c r="BS44" s="399"/>
      <c r="BT44" s="399">
        <v>1612.6032</v>
      </c>
      <c r="BU44" s="399"/>
      <c r="BV44" s="399">
        <v>1098.6355801798832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868.32479999999998</v>
      </c>
      <c r="CJ44" s="399">
        <v>-144.20039999999995</v>
      </c>
      <c r="CK44" s="399"/>
      <c r="CL44" s="399"/>
      <c r="CM44" s="399"/>
      <c r="CN44" s="399"/>
      <c r="CO44" s="399">
        <v>-552.17160000000001</v>
      </c>
      <c r="CP44" s="399">
        <v>140.24880000000005</v>
      </c>
      <c r="CQ44" s="399">
        <v>31</v>
      </c>
      <c r="CR44" s="399">
        <v>160.46436857421304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19.182347560932612</v>
      </c>
      <c r="DA44" s="399">
        <v>0</v>
      </c>
      <c r="DB44" s="399">
        <v>0</v>
      </c>
      <c r="DC44" s="399">
        <v>140.24614300844996</v>
      </c>
      <c r="DD44" s="399">
        <v>0</v>
      </c>
      <c r="DE44" s="399">
        <v>0</v>
      </c>
      <c r="DF44" s="399">
        <v>0</v>
      </c>
      <c r="DG44" s="399">
        <v>1.4319498252500971</v>
      </c>
      <c r="DH44" s="399">
        <v>0</v>
      </c>
      <c r="DI44" s="399">
        <v>0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0</v>
      </c>
      <c r="DP44" s="399">
        <v>-0.39607182041959721</v>
      </c>
      <c r="DQ44" s="399">
        <v>0</v>
      </c>
      <c r="DR44" s="399">
        <v>0</v>
      </c>
      <c r="DS44" s="399"/>
      <c r="DT44" s="399"/>
      <c r="DU44" s="399"/>
      <c r="DV44" s="399">
        <v>1304.5021376714105</v>
      </c>
      <c r="DW44" s="399">
        <v>0</v>
      </c>
      <c r="DX44" s="399">
        <v>0</v>
      </c>
      <c r="DY44" s="399">
        <v>-552.1715999999999</v>
      </c>
      <c r="DZ44" s="399">
        <v>140.24880000000007</v>
      </c>
      <c r="EA44" s="399">
        <v>0</v>
      </c>
      <c r="EB44" s="399">
        <v>0</v>
      </c>
      <c r="EC44" s="399">
        <v>-572.37941164510062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216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954</v>
      </c>
      <c r="C45" s="399" t="s">
        <v>2352</v>
      </c>
      <c r="D45" s="399" t="s">
        <v>1821</v>
      </c>
      <c r="E45" s="399" t="s">
        <v>887</v>
      </c>
      <c r="F45" s="399" t="s">
        <v>2357</v>
      </c>
      <c r="G45" s="399" t="s">
        <v>1237</v>
      </c>
      <c r="H45" s="399" t="s">
        <v>1237</v>
      </c>
      <c r="I45" s="399" t="s">
        <v>1237</v>
      </c>
      <c r="J45" s="399" t="s">
        <v>2353</v>
      </c>
      <c r="K45" s="789">
        <v>44470</v>
      </c>
      <c r="L45" s="399">
        <v>0</v>
      </c>
      <c r="M45" s="399">
        <v>0</v>
      </c>
      <c r="N45" s="399">
        <v>10.64</v>
      </c>
      <c r="O45" s="399">
        <v>10.64</v>
      </c>
      <c r="P45" s="399">
        <v>10.64</v>
      </c>
      <c r="Q45" s="399">
        <v>10.64</v>
      </c>
      <c r="R45" s="399"/>
      <c r="S45" s="399">
        <v>345.46</v>
      </c>
      <c r="T45" s="399">
        <v>215.17</v>
      </c>
      <c r="U45" s="399"/>
      <c r="V45" s="399">
        <v>5965.1031999999996</v>
      </c>
      <c r="W45" s="399">
        <v>5965.1031999999996</v>
      </c>
      <c r="X45" s="399">
        <v>5115.7120000000004</v>
      </c>
      <c r="Y45" s="399">
        <v>0</v>
      </c>
      <c r="Z45" s="399">
        <v>0</v>
      </c>
      <c r="AA45" s="399">
        <v>0</v>
      </c>
      <c r="AB45" s="399">
        <v>0</v>
      </c>
      <c r="AC45" s="399">
        <v>0</v>
      </c>
      <c r="AD45" s="399">
        <v>950.31774359026304</v>
      </c>
      <c r="AE45" s="399">
        <v>2689.9036327177923</v>
      </c>
      <c r="AF45" s="399">
        <v>2242.5070159007932</v>
      </c>
      <c r="AG45" s="399">
        <v>46.890207988153264</v>
      </c>
      <c r="AH45" s="399">
        <v>0</v>
      </c>
      <c r="AI45" s="399">
        <v>0</v>
      </c>
      <c r="AJ45" s="399">
        <v>0</v>
      </c>
      <c r="AK45" s="399">
        <v>0</v>
      </c>
      <c r="AL45" s="399">
        <v>0</v>
      </c>
      <c r="AM45" s="399"/>
      <c r="AN45" s="399">
        <v>12.527509174861963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22.896583539896124</v>
      </c>
      <c r="BH45" s="399">
        <v>0</v>
      </c>
      <c r="BI45" s="399">
        <v>0</v>
      </c>
      <c r="BJ45" s="399">
        <v>0</v>
      </c>
      <c r="BK45" s="399">
        <v>476.23</v>
      </c>
      <c r="BL45" s="399">
        <v>34</v>
      </c>
      <c r="BM45" s="399"/>
      <c r="BN45" s="399"/>
      <c r="BO45" s="399"/>
      <c r="BP45" s="399"/>
      <c r="BQ45" s="399"/>
      <c r="BR45" s="399"/>
      <c r="BS45" s="399"/>
      <c r="BT45" s="399">
        <v>2046.2848000000001</v>
      </c>
      <c r="BU45" s="399"/>
      <c r="BV45" s="399">
        <v>2265.4035994406895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3069.4272000000001</v>
      </c>
      <c r="CJ45" s="399">
        <v>-509.57960000000094</v>
      </c>
      <c r="CK45" s="399"/>
      <c r="CL45" s="399"/>
      <c r="CM45" s="399"/>
      <c r="CN45" s="399"/>
      <c r="CO45" s="399">
        <v>-1138.5863999999999</v>
      </c>
      <c r="CP45" s="399">
        <v>289.19520000000011</v>
      </c>
      <c r="CQ45" s="399">
        <v>31</v>
      </c>
      <c r="CR45" s="399">
        <v>330.88001581969502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39.554298071380458</v>
      </c>
      <c r="DA45" s="399">
        <v>0</v>
      </c>
      <c r="DB45" s="399">
        <v>0</v>
      </c>
      <c r="DC45" s="399">
        <v>289.18972124223046</v>
      </c>
      <c r="DD45" s="399">
        <v>0</v>
      </c>
      <c r="DE45" s="399">
        <v>0</v>
      </c>
      <c r="DF45" s="399">
        <v>0</v>
      </c>
      <c r="DG45" s="399">
        <v>2.952702740438184</v>
      </c>
      <c r="DH45" s="399">
        <v>0</v>
      </c>
      <c r="DI45" s="399">
        <v>0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0</v>
      </c>
      <c r="DP45" s="399">
        <v>-0.81670623435358891</v>
      </c>
      <c r="DQ45" s="399">
        <v>0</v>
      </c>
      <c r="DR45" s="399">
        <v>0</v>
      </c>
      <c r="DS45" s="399"/>
      <c r="DT45" s="399"/>
      <c r="DU45" s="399"/>
      <c r="DV45" s="399">
        <v>2689.9036327177923</v>
      </c>
      <c r="DW45" s="399">
        <v>0</v>
      </c>
      <c r="DX45" s="399">
        <v>0</v>
      </c>
      <c r="DY45" s="399">
        <v>-1138.5863999999997</v>
      </c>
      <c r="DZ45" s="399">
        <v>289.19520000000011</v>
      </c>
      <c r="EA45" s="399">
        <v>0</v>
      </c>
      <c r="EB45" s="399">
        <v>0</v>
      </c>
      <c r="EC45" s="399">
        <v>-1180.2552209116029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216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954</v>
      </c>
      <c r="C46" s="399" t="s">
        <v>2352</v>
      </c>
      <c r="D46" s="399" t="s">
        <v>1821</v>
      </c>
      <c r="E46" s="399" t="s">
        <v>887</v>
      </c>
      <c r="F46" s="399" t="s">
        <v>2358</v>
      </c>
      <c r="G46" s="399" t="s">
        <v>1237</v>
      </c>
      <c r="H46" s="399" t="s">
        <v>1237</v>
      </c>
      <c r="I46" s="399" t="s">
        <v>1237</v>
      </c>
      <c r="J46" s="399" t="s">
        <v>2353</v>
      </c>
      <c r="K46" s="789">
        <v>44470</v>
      </c>
      <c r="L46" s="399">
        <v>0</v>
      </c>
      <c r="M46" s="399">
        <v>0</v>
      </c>
      <c r="N46" s="399">
        <v>9.8420000000000005</v>
      </c>
      <c r="O46" s="399">
        <v>9.8420000000000005</v>
      </c>
      <c r="P46" s="399">
        <v>9.8420000000000005</v>
      </c>
      <c r="Q46" s="399">
        <v>9.8420000000000005</v>
      </c>
      <c r="R46" s="399"/>
      <c r="S46" s="399">
        <v>345.46</v>
      </c>
      <c r="T46" s="399">
        <v>215.17</v>
      </c>
      <c r="U46" s="399"/>
      <c r="V46" s="399">
        <v>5517.7204600000005</v>
      </c>
      <c r="W46" s="399">
        <v>5517.7204600000005</v>
      </c>
      <c r="X46" s="399">
        <v>4732.0336000000007</v>
      </c>
      <c r="Y46" s="399">
        <v>0</v>
      </c>
      <c r="Z46" s="399">
        <v>0</v>
      </c>
      <c r="AA46" s="399">
        <v>0</v>
      </c>
      <c r="AB46" s="399">
        <v>0</v>
      </c>
      <c r="AC46" s="399">
        <v>0</v>
      </c>
      <c r="AD46" s="399">
        <v>879.04391282099323</v>
      </c>
      <c r="AE46" s="399">
        <v>2488.1608602639581</v>
      </c>
      <c r="AF46" s="399">
        <v>2074.3189897082339</v>
      </c>
      <c r="AG46" s="399">
        <v>43.37344238904177</v>
      </c>
      <c r="AH46" s="399">
        <v>0</v>
      </c>
      <c r="AI46" s="399">
        <v>0</v>
      </c>
      <c r="AJ46" s="399">
        <v>0</v>
      </c>
      <c r="AK46" s="399">
        <v>0</v>
      </c>
      <c r="AL46" s="399">
        <v>0</v>
      </c>
      <c r="AM46" s="399"/>
      <c r="AN46" s="399">
        <v>11.587945986747316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21.179339774403914</v>
      </c>
      <c r="BH46" s="399">
        <v>0</v>
      </c>
      <c r="BI46" s="399">
        <v>0</v>
      </c>
      <c r="BJ46" s="399">
        <v>0</v>
      </c>
      <c r="BK46" s="399">
        <v>1186.4000000000001</v>
      </c>
      <c r="BL46" s="399">
        <v>91</v>
      </c>
      <c r="BM46" s="399"/>
      <c r="BN46" s="399"/>
      <c r="BO46" s="399"/>
      <c r="BP46" s="399"/>
      <c r="BQ46" s="399"/>
      <c r="BR46" s="399"/>
      <c r="BS46" s="399"/>
      <c r="BT46" s="399">
        <v>473.30177999999978</v>
      </c>
      <c r="BU46" s="399"/>
      <c r="BV46" s="399">
        <v>2095.4983294826379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4257.8663999999999</v>
      </c>
      <c r="CJ46" s="399">
        <v>-708.04312000000118</v>
      </c>
      <c r="CK46" s="399"/>
      <c r="CL46" s="399"/>
      <c r="CM46" s="399"/>
      <c r="CN46" s="399"/>
      <c r="CO46" s="399">
        <v>-1053.1924199999999</v>
      </c>
      <c r="CP46" s="399">
        <v>267.50556000000006</v>
      </c>
      <c r="CQ46" s="399">
        <v>31</v>
      </c>
      <c r="CR46" s="399">
        <v>306.06401463321799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36.587725716026966</v>
      </c>
      <c r="DA46" s="399">
        <v>0</v>
      </c>
      <c r="DB46" s="399">
        <v>0</v>
      </c>
      <c r="DC46" s="399">
        <v>267.50049214906312</v>
      </c>
      <c r="DD46" s="399">
        <v>0</v>
      </c>
      <c r="DE46" s="399">
        <v>0</v>
      </c>
      <c r="DF46" s="399">
        <v>0</v>
      </c>
      <c r="DG46" s="399">
        <v>2.7312500349053224</v>
      </c>
      <c r="DH46" s="399">
        <v>0</v>
      </c>
      <c r="DI46" s="399">
        <v>0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0</v>
      </c>
      <c r="DP46" s="399">
        <v>-0.75545326677706903</v>
      </c>
      <c r="DQ46" s="399">
        <v>0</v>
      </c>
      <c r="DR46" s="399">
        <v>0</v>
      </c>
      <c r="DS46" s="399"/>
      <c r="DT46" s="399"/>
      <c r="DU46" s="399"/>
      <c r="DV46" s="399">
        <v>2488.1608602639581</v>
      </c>
      <c r="DW46" s="399">
        <v>0</v>
      </c>
      <c r="DX46" s="399">
        <v>0</v>
      </c>
      <c r="DY46" s="399">
        <v>-1053.1924199999999</v>
      </c>
      <c r="DZ46" s="399">
        <v>267.50556000000006</v>
      </c>
      <c r="EA46" s="399">
        <v>0</v>
      </c>
      <c r="EB46" s="399">
        <v>0</v>
      </c>
      <c r="EC46" s="399">
        <v>-1091.7360793432329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216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954</v>
      </c>
      <c r="C47" s="399" t="s">
        <v>2352</v>
      </c>
      <c r="D47" s="399" t="s">
        <v>1821</v>
      </c>
      <c r="E47" s="399" t="s">
        <v>887</v>
      </c>
      <c r="F47" s="399" t="s">
        <v>2359</v>
      </c>
      <c r="G47" s="399" t="s">
        <v>1237</v>
      </c>
      <c r="H47" s="399" t="s">
        <v>1237</v>
      </c>
      <c r="I47" s="399" t="s">
        <v>1237</v>
      </c>
      <c r="J47" s="399" t="s">
        <v>2353</v>
      </c>
      <c r="K47" s="789">
        <v>44470</v>
      </c>
      <c r="L47" s="399">
        <v>0</v>
      </c>
      <c r="M47" s="399">
        <v>0</v>
      </c>
      <c r="N47" s="399">
        <v>3.2509999999999999</v>
      </c>
      <c r="O47" s="399">
        <v>3.2509999999999999</v>
      </c>
      <c r="P47" s="399">
        <v>3.2509999999999999</v>
      </c>
      <c r="Q47" s="399">
        <v>3.2509999999999999</v>
      </c>
      <c r="R47" s="399"/>
      <c r="S47" s="399">
        <v>345.46</v>
      </c>
      <c r="T47" s="399">
        <v>215.17</v>
      </c>
      <c r="U47" s="399"/>
      <c r="V47" s="399">
        <v>1822.6081299999998</v>
      </c>
      <c r="W47" s="399">
        <v>1822.6081299999998</v>
      </c>
      <c r="X47" s="399">
        <v>1563.0807999999997</v>
      </c>
      <c r="Y47" s="399">
        <v>0</v>
      </c>
      <c r="Z47" s="399">
        <v>0</v>
      </c>
      <c r="AA47" s="399">
        <v>0</v>
      </c>
      <c r="AB47" s="399">
        <v>0</v>
      </c>
      <c r="AC47" s="399">
        <v>0</v>
      </c>
      <c r="AD47" s="399">
        <v>290.36494214397976</v>
      </c>
      <c r="AE47" s="399">
        <v>821.88690883134791</v>
      </c>
      <c r="AF47" s="399">
        <v>685.18705908773291</v>
      </c>
      <c r="AG47" s="399">
        <v>14.327073888109609</v>
      </c>
      <c r="AH47" s="399">
        <v>0</v>
      </c>
      <c r="AI47" s="399">
        <v>0</v>
      </c>
      <c r="AJ47" s="399">
        <v>0</v>
      </c>
      <c r="AK47" s="399">
        <v>0</v>
      </c>
      <c r="AL47" s="399">
        <v>0</v>
      </c>
      <c r="AM47" s="399"/>
      <c r="AN47" s="399">
        <v>3.8277192037101728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6.9959392000190128</v>
      </c>
      <c r="BH47" s="399">
        <v>0</v>
      </c>
      <c r="BI47" s="399">
        <v>0</v>
      </c>
      <c r="BJ47" s="399">
        <v>0</v>
      </c>
      <c r="BK47" s="399">
        <v>782.22</v>
      </c>
      <c r="BL47" s="399">
        <v>39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692.18299828775196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1562.6</v>
      </c>
      <c r="CJ47" s="399">
        <v>-260.03812999999991</v>
      </c>
      <c r="CK47" s="399"/>
      <c r="CL47" s="399"/>
      <c r="CM47" s="399"/>
      <c r="CN47" s="399"/>
      <c r="CO47" s="399">
        <v>-347.88950999999997</v>
      </c>
      <c r="CP47" s="399">
        <v>88.362180000000023</v>
      </c>
      <c r="CQ47" s="399">
        <v>31</v>
      </c>
      <c r="CR47" s="399">
        <v>101.0987717509239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12.085622465230983</v>
      </c>
      <c r="DA47" s="399">
        <v>0</v>
      </c>
      <c r="DB47" s="399">
        <v>0</v>
      </c>
      <c r="DC47" s="399">
        <v>88.360505992339426</v>
      </c>
      <c r="DD47" s="399">
        <v>0</v>
      </c>
      <c r="DE47" s="399">
        <v>0</v>
      </c>
      <c r="DF47" s="399">
        <v>0</v>
      </c>
      <c r="DG47" s="399">
        <v>0.90218389183877168</v>
      </c>
      <c r="DH47" s="399">
        <v>0</v>
      </c>
      <c r="DI47" s="399">
        <v>0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0</v>
      </c>
      <c r="DP47" s="399">
        <v>-0.24954059848529297</v>
      </c>
      <c r="DQ47" s="399">
        <v>0</v>
      </c>
      <c r="DR47" s="399">
        <v>0</v>
      </c>
      <c r="DS47" s="399"/>
      <c r="DT47" s="399"/>
      <c r="DU47" s="399"/>
      <c r="DV47" s="399">
        <v>821.88690883134791</v>
      </c>
      <c r="DW47" s="399">
        <v>0</v>
      </c>
      <c r="DX47" s="399">
        <v>0</v>
      </c>
      <c r="DY47" s="399">
        <v>-347.88950999999997</v>
      </c>
      <c r="DZ47" s="399">
        <v>88.362179999999967</v>
      </c>
      <c r="EA47" s="399">
        <v>0</v>
      </c>
      <c r="EB47" s="399">
        <v>0</v>
      </c>
      <c r="EC47" s="399">
        <v>-360.62121458492675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216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954</v>
      </c>
      <c r="C48" s="399" t="s">
        <v>2352</v>
      </c>
      <c r="D48" s="399" t="s">
        <v>1824</v>
      </c>
      <c r="E48" s="399" t="s">
        <v>888</v>
      </c>
      <c r="F48" s="399" t="s">
        <v>1237</v>
      </c>
      <c r="G48" s="399" t="s">
        <v>1237</v>
      </c>
      <c r="H48" s="399" t="s">
        <v>1237</v>
      </c>
      <c r="I48" s="399" t="s">
        <v>1237</v>
      </c>
      <c r="J48" s="399" t="s">
        <v>2353</v>
      </c>
      <c r="K48" s="789">
        <v>44470</v>
      </c>
      <c r="L48" s="399">
        <v>0</v>
      </c>
      <c r="M48" s="399">
        <v>0</v>
      </c>
      <c r="N48" s="399">
        <v>21.478000000000002</v>
      </c>
      <c r="O48" s="399">
        <v>21.478000000000002</v>
      </c>
      <c r="P48" s="399">
        <v>21.478000000000002</v>
      </c>
      <c r="Q48" s="399">
        <v>21.478000000000002</v>
      </c>
      <c r="R48" s="399"/>
      <c r="S48" s="399">
        <v>415.98</v>
      </c>
      <c r="T48" s="399">
        <v>215.17</v>
      </c>
      <c r="U48" s="399"/>
      <c r="V48" s="399">
        <v>13555.8397</v>
      </c>
      <c r="W48" s="399">
        <v>13555.8397</v>
      </c>
      <c r="X48" s="399">
        <v>11781.54212</v>
      </c>
      <c r="Y48" s="399">
        <v>0</v>
      </c>
      <c r="Z48" s="399">
        <v>1312.0179538669529</v>
      </c>
      <c r="AA48" s="399">
        <v>0</v>
      </c>
      <c r="AB48" s="399">
        <v>0</v>
      </c>
      <c r="AC48" s="399">
        <v>0</v>
      </c>
      <c r="AD48" s="399">
        <v>1918.3199715067358</v>
      </c>
      <c r="AE48" s="399">
        <v>5429.8637428113479</v>
      </c>
      <c r="AF48" s="399">
        <v>4526.7448954433494</v>
      </c>
      <c r="AG48" s="399">
        <v>94.652996914431938</v>
      </c>
      <c r="AH48" s="399">
        <v>0</v>
      </c>
      <c r="AI48" s="399">
        <v>0</v>
      </c>
      <c r="AJ48" s="399">
        <v>0</v>
      </c>
      <c r="AK48" s="399">
        <v>0</v>
      </c>
      <c r="AL48" s="399">
        <v>202.74042886402933</v>
      </c>
      <c r="AM48" s="399"/>
      <c r="AN48" s="399">
        <v>25.288143050534327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46.21925011935047</v>
      </c>
      <c r="BH48" s="399">
        <v>0</v>
      </c>
      <c r="BI48" s="399">
        <v>0</v>
      </c>
      <c r="BJ48" s="399">
        <v>0</v>
      </c>
      <c r="BK48" s="399">
        <v>5224.3</v>
      </c>
      <c r="BL48" s="399">
        <v>38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4572.9641455626997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11782.6392</v>
      </c>
      <c r="CJ48" s="399">
        <v>-1773.2305000000015</v>
      </c>
      <c r="CK48" s="399"/>
      <c r="CL48" s="399"/>
      <c r="CM48" s="399"/>
      <c r="CN48" s="399"/>
      <c r="CO48" s="399">
        <v>-2358.0696200000007</v>
      </c>
      <c r="CP48" s="399">
        <v>583.77204000000017</v>
      </c>
      <c r="CQ48" s="399">
        <v>31</v>
      </c>
      <c r="CR48" s="399">
        <v>608.12580964219887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79.844662967773502</v>
      </c>
      <c r="DA48" s="399">
        <v>0</v>
      </c>
      <c r="DB48" s="399">
        <v>0</v>
      </c>
      <c r="DC48" s="399">
        <v>583.76098053013447</v>
      </c>
      <c r="DD48" s="399">
        <v>0</v>
      </c>
      <c r="DE48" s="399">
        <v>0</v>
      </c>
      <c r="DF48" s="399">
        <v>0</v>
      </c>
      <c r="DG48" s="399">
        <v>5.9603523927754978</v>
      </c>
      <c r="DH48" s="399">
        <v>0</v>
      </c>
      <c r="DI48" s="399">
        <v>-53.345334550905591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-6.4462411241331949</v>
      </c>
      <c r="DP48" s="399">
        <v>-1.6486105734442056</v>
      </c>
      <c r="DQ48" s="399">
        <v>0</v>
      </c>
      <c r="DR48" s="399">
        <v>0</v>
      </c>
      <c r="DS48" s="399"/>
      <c r="DT48" s="399"/>
      <c r="DU48" s="399"/>
      <c r="DV48" s="399">
        <v>5429.8637428113479</v>
      </c>
      <c r="DW48" s="399">
        <v>0</v>
      </c>
      <c r="DX48" s="399">
        <v>0</v>
      </c>
      <c r="DY48" s="399">
        <v>-2358.0696200000011</v>
      </c>
      <c r="DZ48" s="399">
        <v>583.77203999999983</v>
      </c>
      <c r="EA48" s="399">
        <v>0</v>
      </c>
      <c r="EB48" s="399">
        <v>0</v>
      </c>
      <c r="EC48" s="399">
        <v>-2382.473837851448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216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2355</v>
      </c>
      <c r="C49" s="399" t="s">
        <v>2352</v>
      </c>
      <c r="D49" s="399" t="s">
        <v>1824</v>
      </c>
      <c r="E49" s="399" t="s">
        <v>888</v>
      </c>
      <c r="F49" s="399" t="s">
        <v>1237</v>
      </c>
      <c r="G49" s="399" t="s">
        <v>1237</v>
      </c>
      <c r="H49" s="399" t="s">
        <v>1237</v>
      </c>
      <c r="I49" s="399" t="s">
        <v>1237</v>
      </c>
      <c r="J49" s="399" t="s">
        <v>2353</v>
      </c>
      <c r="K49" s="789">
        <v>44470</v>
      </c>
      <c r="L49" s="399">
        <v>0</v>
      </c>
      <c r="M49" s="399">
        <v>0</v>
      </c>
      <c r="N49" s="399">
        <v>15.423999999999999</v>
      </c>
      <c r="O49" s="399">
        <v>15.423999999999999</v>
      </c>
      <c r="P49" s="399">
        <v>15.423999999999999</v>
      </c>
      <c r="Q49" s="399">
        <v>15.423999999999999</v>
      </c>
      <c r="R49" s="399"/>
      <c r="S49" s="399">
        <v>415.98</v>
      </c>
      <c r="T49" s="399">
        <v>215.17</v>
      </c>
      <c r="U49" s="399"/>
      <c r="V49" s="399">
        <v>9734.8575999999994</v>
      </c>
      <c r="W49" s="399">
        <v>9734.8575999999994</v>
      </c>
      <c r="X49" s="399">
        <v>8460.6809599999997</v>
      </c>
      <c r="Y49" s="399">
        <v>0</v>
      </c>
      <c r="Z49" s="399">
        <v>942.19968900474339</v>
      </c>
      <c r="AA49" s="399">
        <v>0</v>
      </c>
      <c r="AB49" s="399">
        <v>0</v>
      </c>
      <c r="AC49" s="399">
        <v>0</v>
      </c>
      <c r="AD49" s="399">
        <v>1377.6034658962608</v>
      </c>
      <c r="AE49" s="399">
        <v>3899.3490254736116</v>
      </c>
      <c r="AF49" s="399">
        <v>3250.7921253058112</v>
      </c>
      <c r="AG49" s="399">
        <v>67.973173685082315</v>
      </c>
      <c r="AH49" s="399">
        <v>0</v>
      </c>
      <c r="AI49" s="399">
        <v>0</v>
      </c>
      <c r="AJ49" s="399">
        <v>0</v>
      </c>
      <c r="AK49" s="399">
        <v>0</v>
      </c>
      <c r="AL49" s="399">
        <v>145.59402061638829</v>
      </c>
      <c r="AM49" s="399"/>
      <c r="AN49" s="399">
        <v>18.160178713634483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33.191438394676481</v>
      </c>
      <c r="BH49" s="399">
        <v>0</v>
      </c>
      <c r="BI49" s="399">
        <v>0</v>
      </c>
      <c r="BJ49" s="399">
        <v>0</v>
      </c>
      <c r="BK49" s="399">
        <v>4561.2299999999996</v>
      </c>
      <c r="BL49" s="399">
        <v>4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3283.9835637004876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8458.4868000000006</v>
      </c>
      <c r="CJ49" s="399">
        <v>-1276.4007999999994</v>
      </c>
      <c r="CK49" s="399"/>
      <c r="CL49" s="399"/>
      <c r="CM49" s="399"/>
      <c r="CN49" s="399"/>
      <c r="CO49" s="399">
        <v>-1693.4009600000002</v>
      </c>
      <c r="CP49" s="399">
        <v>419.22432000000009</v>
      </c>
      <c r="CQ49" s="399">
        <v>31</v>
      </c>
      <c r="CR49" s="399">
        <v>436.71349696998277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57.33886216663268</v>
      </c>
      <c r="DA49" s="399">
        <v>0</v>
      </c>
      <c r="DB49" s="399">
        <v>0</v>
      </c>
      <c r="DC49" s="399">
        <v>419.21637786091742</v>
      </c>
      <c r="DD49" s="399">
        <v>0</v>
      </c>
      <c r="DE49" s="399">
        <v>0</v>
      </c>
      <c r="DF49" s="399">
        <v>0</v>
      </c>
      <c r="DG49" s="399">
        <v>4.2803089350111421</v>
      </c>
      <c r="DH49" s="399">
        <v>0</v>
      </c>
      <c r="DI49" s="399">
        <v>-38.308894688200439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-4.6292402969843636</v>
      </c>
      <c r="DP49" s="399">
        <v>-1.1839170073937737</v>
      </c>
      <c r="DQ49" s="399">
        <v>0</v>
      </c>
      <c r="DR49" s="399">
        <v>0</v>
      </c>
      <c r="DS49" s="399"/>
      <c r="DT49" s="399"/>
      <c r="DU49" s="399"/>
      <c r="DV49" s="399">
        <v>3899.3490254736116</v>
      </c>
      <c r="DW49" s="399">
        <v>0</v>
      </c>
      <c r="DX49" s="399">
        <v>0</v>
      </c>
      <c r="DY49" s="399">
        <v>-1693.4009600000009</v>
      </c>
      <c r="DZ49" s="399">
        <v>419.22432000000026</v>
      </c>
      <c r="EA49" s="399">
        <v>0</v>
      </c>
      <c r="EB49" s="399">
        <v>0</v>
      </c>
      <c r="EC49" s="399">
        <v>-1710.9263653515568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216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954</v>
      </c>
      <c r="C50" s="399" t="s">
        <v>2360</v>
      </c>
      <c r="D50" s="399" t="s">
        <v>533</v>
      </c>
      <c r="E50" s="399" t="s">
        <v>888</v>
      </c>
      <c r="F50" s="399" t="s">
        <v>1237</v>
      </c>
      <c r="G50" s="399" t="s">
        <v>1237</v>
      </c>
      <c r="H50" s="399" t="s">
        <v>1237</v>
      </c>
      <c r="I50" s="399" t="s">
        <v>891</v>
      </c>
      <c r="J50" s="399" t="s">
        <v>2353</v>
      </c>
      <c r="K50" s="789">
        <v>44470</v>
      </c>
      <c r="L50" s="399">
        <v>0</v>
      </c>
      <c r="M50" s="399">
        <v>0</v>
      </c>
      <c r="N50" s="399">
        <v>115.479</v>
      </c>
      <c r="O50" s="399">
        <v>115.479</v>
      </c>
      <c r="P50" s="399">
        <v>115.479</v>
      </c>
      <c r="Q50" s="399">
        <v>115.479</v>
      </c>
      <c r="R50" s="399"/>
      <c r="S50" s="399">
        <v>2184.0300000000002</v>
      </c>
      <c r="T50" s="399">
        <v>215.17</v>
      </c>
      <c r="U50" s="399"/>
      <c r="V50" s="399">
        <v>277057.21680000005</v>
      </c>
      <c r="W50" s="399">
        <v>277057.21680000005</v>
      </c>
      <c r="X50" s="399">
        <v>209062.02680999998</v>
      </c>
      <c r="Y50" s="399">
        <v>0</v>
      </c>
      <c r="Z50" s="399">
        <v>6137.1707573472122</v>
      </c>
      <c r="AA50" s="399">
        <v>0</v>
      </c>
      <c r="AB50" s="399">
        <v>0</v>
      </c>
      <c r="AC50" s="399">
        <v>0</v>
      </c>
      <c r="AD50" s="399">
        <v>76099.998861098691</v>
      </c>
      <c r="AE50" s="399">
        <v>168706.51329769197</v>
      </c>
      <c r="AF50" s="399">
        <v>24338.57779033907</v>
      </c>
      <c r="AG50" s="399">
        <v>508.91300077668706</v>
      </c>
      <c r="AH50" s="399">
        <v>0</v>
      </c>
      <c r="AI50" s="399">
        <v>0</v>
      </c>
      <c r="AJ50" s="399">
        <v>0</v>
      </c>
      <c r="AK50" s="399">
        <v>0</v>
      </c>
      <c r="AL50" s="399">
        <v>1090.0578259050767</v>
      </c>
      <c r="AM50" s="399"/>
      <c r="AN50" s="399">
        <v>79.66580330129807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95.945851784623414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24434.523642123695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209063.83720000001</v>
      </c>
      <c r="CJ50" s="399">
        <v>-67993.409600000072</v>
      </c>
      <c r="CK50" s="399"/>
      <c r="CL50" s="399"/>
      <c r="CM50" s="399"/>
      <c r="CN50" s="399"/>
      <c r="CO50" s="399">
        <v>-71133.909210000027</v>
      </c>
      <c r="CP50" s="399">
        <v>3138.7192200000009</v>
      </c>
      <c r="CQ50" s="399">
        <v>31</v>
      </c>
      <c r="CR50" s="399">
        <v>6029.0969258516561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3167.4480019826005</v>
      </c>
      <c r="DA50" s="399">
        <v>0</v>
      </c>
      <c r="DB50" s="399">
        <v>0</v>
      </c>
      <c r="DC50" s="399">
        <v>3138.6597574559673</v>
      </c>
      <c r="DD50" s="399">
        <v>0</v>
      </c>
      <c r="DE50" s="399">
        <v>0</v>
      </c>
      <c r="DF50" s="399">
        <v>0</v>
      </c>
      <c r="DG50" s="399">
        <v>12.373006610549623</v>
      </c>
      <c r="DH50" s="399">
        <v>0</v>
      </c>
      <c r="DI50" s="399">
        <v>-249.53120975348247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-34.658975638968968</v>
      </c>
      <c r="DP50" s="399">
        <v>-5.1936548050205573</v>
      </c>
      <c r="DQ50" s="399">
        <v>0</v>
      </c>
      <c r="DR50" s="399">
        <v>0</v>
      </c>
      <c r="DS50" s="399"/>
      <c r="DT50" s="399"/>
      <c r="DU50" s="399"/>
      <c r="DV50" s="399">
        <v>168706.51329769197</v>
      </c>
      <c r="DW50" s="399">
        <v>0</v>
      </c>
      <c r="DX50" s="399">
        <v>0</v>
      </c>
      <c r="DY50" s="399">
        <v>-71133.909210000042</v>
      </c>
      <c r="DZ50" s="399">
        <v>3138.7192200000027</v>
      </c>
      <c r="EA50" s="399">
        <v>0</v>
      </c>
      <c r="EB50" s="399">
        <v>0</v>
      </c>
      <c r="EC50" s="399">
        <v>-74023.74594372086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216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954</v>
      </c>
      <c r="C51" s="399" t="s">
        <v>2360</v>
      </c>
      <c r="D51" s="399" t="s">
        <v>533</v>
      </c>
      <c r="E51" s="399" t="s">
        <v>888</v>
      </c>
      <c r="F51" s="399" t="s">
        <v>1237</v>
      </c>
      <c r="G51" s="399" t="s">
        <v>1237</v>
      </c>
      <c r="H51" s="399" t="s">
        <v>1237</v>
      </c>
      <c r="I51" s="399" t="s">
        <v>2327</v>
      </c>
      <c r="J51" s="399" t="s">
        <v>2353</v>
      </c>
      <c r="K51" s="789">
        <v>44470</v>
      </c>
      <c r="L51" s="399">
        <v>0</v>
      </c>
      <c r="M51" s="399">
        <v>0</v>
      </c>
      <c r="N51" s="399">
        <v>1488.9290000000001</v>
      </c>
      <c r="O51" s="399">
        <v>1488.9290000000001</v>
      </c>
      <c r="P51" s="399">
        <v>1488.9290000000001</v>
      </c>
      <c r="Q51" s="399">
        <v>1488.9290000000001</v>
      </c>
      <c r="R51" s="399"/>
      <c r="S51" s="399">
        <v>64.11</v>
      </c>
      <c r="T51" s="399">
        <v>215.17</v>
      </c>
      <c r="U51" s="399"/>
      <c r="V51" s="399">
        <v>415828.09112</v>
      </c>
      <c r="W51" s="399">
        <v>415828.09112</v>
      </c>
      <c r="X51" s="399">
        <v>452723.75173999998</v>
      </c>
      <c r="Y51" s="399">
        <v>0</v>
      </c>
      <c r="Z51" s="399">
        <v>79129.638449988561</v>
      </c>
      <c r="AA51" s="399">
        <v>0</v>
      </c>
      <c r="AB51" s="399">
        <v>0</v>
      </c>
      <c r="AC51" s="399">
        <v>0</v>
      </c>
      <c r="AD51" s="399">
        <v>0</v>
      </c>
      <c r="AE51" s="399">
        <v>0</v>
      </c>
      <c r="AF51" s="399">
        <v>313809.56096599175</v>
      </c>
      <c r="AG51" s="399">
        <v>6561.672038495587</v>
      </c>
      <c r="AH51" s="399">
        <v>0</v>
      </c>
      <c r="AI51" s="399">
        <v>0</v>
      </c>
      <c r="AJ51" s="399">
        <v>0</v>
      </c>
      <c r="AK51" s="399">
        <v>0</v>
      </c>
      <c r="AL51" s="399">
        <v>14054.665425462814</v>
      </c>
      <c r="AM51" s="399"/>
      <c r="AN51" s="399">
        <v>1027.1713891148904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1237.0782666270713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315046.63923261885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452724.05580000003</v>
      </c>
      <c r="CJ51" s="399">
        <v>36895.934680000006</v>
      </c>
      <c r="CK51" s="399"/>
      <c r="CL51" s="399"/>
      <c r="CM51" s="399"/>
      <c r="CN51" s="399"/>
      <c r="CO51" s="399">
        <v>-3573.4295999999981</v>
      </c>
      <c r="CP51" s="399">
        <v>40469.090220000013</v>
      </c>
      <c r="CQ51" s="399">
        <v>31</v>
      </c>
      <c r="CR51" s="399">
        <v>36896.683124788164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0</v>
      </c>
      <c r="DA51" s="399">
        <v>0</v>
      </c>
      <c r="DB51" s="399">
        <v>0</v>
      </c>
      <c r="DC51" s="399">
        <v>40468.323539424164</v>
      </c>
      <c r="DD51" s="399">
        <v>0</v>
      </c>
      <c r="DE51" s="399">
        <v>0</v>
      </c>
      <c r="DF51" s="399">
        <v>0</v>
      </c>
      <c r="DG51" s="399">
        <v>159.53141575211976</v>
      </c>
      <c r="DH51" s="399">
        <v>0</v>
      </c>
      <c r="DI51" s="399">
        <v>-3217.3317625459458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-446.87565651897239</v>
      </c>
      <c r="DP51" s="399">
        <v>-66.964411323136119</v>
      </c>
      <c r="DQ51" s="399">
        <v>0</v>
      </c>
      <c r="DR51" s="399">
        <v>0</v>
      </c>
      <c r="DS51" s="399"/>
      <c r="DT51" s="399"/>
      <c r="DU51" s="399"/>
      <c r="DV51" s="399">
        <v>0</v>
      </c>
      <c r="DW51" s="399">
        <v>0</v>
      </c>
      <c r="DX51" s="399">
        <v>0</v>
      </c>
      <c r="DY51" s="399">
        <v>-3573.4296000000031</v>
      </c>
      <c r="DZ51" s="399">
        <v>40469.090220000013</v>
      </c>
      <c r="EA51" s="399">
        <v>0</v>
      </c>
      <c r="EB51" s="399">
        <v>0</v>
      </c>
      <c r="EC51" s="399">
        <v>0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216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954</v>
      </c>
      <c r="C52" s="399" t="s">
        <v>2360</v>
      </c>
      <c r="D52" s="399" t="s">
        <v>533</v>
      </c>
      <c r="E52" s="399" t="s">
        <v>888</v>
      </c>
      <c r="F52" s="399" t="s">
        <v>1237</v>
      </c>
      <c r="G52" s="399" t="s">
        <v>1237</v>
      </c>
      <c r="H52" s="399" t="s">
        <v>1237</v>
      </c>
      <c r="I52" s="399" t="s">
        <v>1237</v>
      </c>
      <c r="J52" s="399" t="s">
        <v>2353</v>
      </c>
      <c r="K52" s="789">
        <v>44470</v>
      </c>
      <c r="L52" s="399">
        <v>5166</v>
      </c>
      <c r="M52" s="399">
        <v>5166</v>
      </c>
      <c r="N52" s="399">
        <v>0</v>
      </c>
      <c r="O52" s="399">
        <v>0</v>
      </c>
      <c r="P52" s="399">
        <v>0</v>
      </c>
      <c r="Q52" s="399">
        <v>0</v>
      </c>
      <c r="R52" s="399">
        <v>28.04</v>
      </c>
      <c r="S52" s="399"/>
      <c r="T52" s="399"/>
      <c r="U52" s="399">
        <v>144854.63999999998</v>
      </c>
      <c r="V52" s="399"/>
      <c r="W52" s="399">
        <v>144854.63999999998</v>
      </c>
      <c r="X52" s="399">
        <v>108795.95999999999</v>
      </c>
      <c r="Y52" s="399">
        <v>0</v>
      </c>
      <c r="Z52" s="399">
        <v>0</v>
      </c>
      <c r="AA52" s="399">
        <v>0</v>
      </c>
      <c r="AB52" s="399">
        <v>0</v>
      </c>
      <c r="AC52" s="399">
        <v>0</v>
      </c>
      <c r="AD52" s="399">
        <v>57191.119420009207</v>
      </c>
      <c r="AE52" s="399">
        <v>87689.233284879549</v>
      </c>
      <c r="AF52" s="399"/>
      <c r="AG52" s="399"/>
      <c r="AH52" s="399"/>
      <c r="AI52" s="399">
        <v>0</v>
      </c>
      <c r="AJ52" s="399">
        <v>0</v>
      </c>
      <c r="AK52" s="399">
        <v>0</v>
      </c>
      <c r="AL52" s="399">
        <v>0</v>
      </c>
      <c r="AM52" s="399"/>
      <c r="AN52" s="399">
        <v>0</v>
      </c>
      <c r="AO52" s="399">
        <v>0</v>
      </c>
      <c r="AP52" s="399">
        <v>0</v>
      </c>
      <c r="AQ52" s="399">
        <v>0</v>
      </c>
      <c r="AR52" s="399">
        <v>0</v>
      </c>
      <c r="AS52" s="399"/>
      <c r="AT52" s="399"/>
      <c r="AU52" s="399">
        <v>0</v>
      </c>
      <c r="AV52" s="399">
        <v>0</v>
      </c>
      <c r="AW52" s="399">
        <v>0</v>
      </c>
      <c r="AX52" s="399"/>
      <c r="AY52" s="399"/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/>
      <c r="BG52" s="399">
        <v>0</v>
      </c>
      <c r="BH52" s="399">
        <v>0</v>
      </c>
      <c r="BI52" s="399">
        <v>0</v>
      </c>
      <c r="BJ52" s="399">
        <v>0</v>
      </c>
      <c r="BK52" s="399">
        <v>304918.03999999998</v>
      </c>
      <c r="BL52" s="399">
        <v>14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0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108795.95999999999</v>
      </c>
      <c r="CJ52" s="399">
        <v>-36058.710000000021</v>
      </c>
      <c r="CK52" s="399"/>
      <c r="CL52" s="399"/>
      <c r="CM52" s="399"/>
      <c r="CN52" s="399"/>
      <c r="CO52" s="399">
        <v>-36058.68</v>
      </c>
      <c r="CP52" s="399">
        <v>0</v>
      </c>
      <c r="CQ52" s="399">
        <v>31</v>
      </c>
      <c r="CR52" s="399">
        <v>2380.4191806714807</v>
      </c>
      <c r="CS52" s="399">
        <v>0</v>
      </c>
      <c r="CT52" s="399">
        <v>0</v>
      </c>
      <c r="CU52" s="399">
        <v>0</v>
      </c>
      <c r="CV52" s="399">
        <v>0</v>
      </c>
      <c r="CW52" s="399"/>
      <c r="CX52" s="399"/>
      <c r="CY52" s="399"/>
      <c r="CZ52" s="399">
        <v>2380.4191806714807</v>
      </c>
      <c r="DA52" s="399">
        <v>0</v>
      </c>
      <c r="DB52" s="399">
        <v>0</v>
      </c>
      <c r="DC52" s="399"/>
      <c r="DD52" s="399"/>
      <c r="DE52" s="399">
        <v>0</v>
      </c>
      <c r="DF52" s="399">
        <v>0</v>
      </c>
      <c r="DG52" s="399">
        <v>0</v>
      </c>
      <c r="DH52" s="399">
        <v>0</v>
      </c>
      <c r="DI52" s="399">
        <v>0</v>
      </c>
      <c r="DJ52" s="399"/>
      <c r="DK52" s="399">
        <v>0</v>
      </c>
      <c r="DL52" s="399">
        <v>0</v>
      </c>
      <c r="DM52" s="399"/>
      <c r="DN52" s="399">
        <v>0</v>
      </c>
      <c r="DO52" s="399">
        <v>0</v>
      </c>
      <c r="DP52" s="399">
        <v>0</v>
      </c>
      <c r="DQ52" s="399">
        <v>0</v>
      </c>
      <c r="DR52" s="399">
        <v>0</v>
      </c>
      <c r="DS52" s="399"/>
      <c r="DT52" s="399"/>
      <c r="DU52" s="399">
        <v>87689.233284879549</v>
      </c>
      <c r="DV52" s="399"/>
      <c r="DW52" s="399">
        <v>0</v>
      </c>
      <c r="DX52" s="399">
        <v>0</v>
      </c>
      <c r="DY52" s="399">
        <v>-36058.679999999993</v>
      </c>
      <c r="DZ52" s="399"/>
      <c r="EA52" s="399">
        <v>0</v>
      </c>
      <c r="EB52" s="399"/>
      <c r="EC52" s="399">
        <v>-38475.607134537349</v>
      </c>
      <c r="ED52" s="399"/>
      <c r="EE52" s="399">
        <v>0</v>
      </c>
      <c r="EF52" s="399">
        <v>0</v>
      </c>
      <c r="EG52" s="399"/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/>
      <c r="EN52" s="399"/>
      <c r="EO52" s="399">
        <v>0</v>
      </c>
      <c r="EP52" s="399">
        <v>0</v>
      </c>
      <c r="EQ52" s="399"/>
      <c r="ER52" s="399">
        <v>0</v>
      </c>
      <c r="ES52" s="399"/>
      <c r="ET52" s="399">
        <v>0</v>
      </c>
      <c r="EU52" s="399"/>
      <c r="EV52" s="399">
        <v>216</v>
      </c>
      <c r="EW52" s="399"/>
      <c r="EX52" s="399"/>
      <c r="EY52" s="399"/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954</v>
      </c>
      <c r="C53" s="399" t="s">
        <v>2352</v>
      </c>
      <c r="D53" s="399" t="s">
        <v>1824</v>
      </c>
      <c r="E53" s="399" t="s">
        <v>916</v>
      </c>
      <c r="F53" s="399" t="s">
        <v>1237</v>
      </c>
      <c r="G53" s="399" t="s">
        <v>1237</v>
      </c>
      <c r="H53" s="399" t="s">
        <v>1237</v>
      </c>
      <c r="I53" s="399" t="s">
        <v>1237</v>
      </c>
      <c r="J53" s="399" t="s">
        <v>2353</v>
      </c>
      <c r="K53" s="789">
        <v>44470</v>
      </c>
      <c r="L53" s="399">
        <v>0</v>
      </c>
      <c r="M53" s="399">
        <v>0</v>
      </c>
      <c r="N53" s="399">
        <v>158.61799999999999</v>
      </c>
      <c r="O53" s="399">
        <v>158.61799999999999</v>
      </c>
      <c r="P53" s="399">
        <v>158.61799999999999</v>
      </c>
      <c r="Q53" s="399">
        <v>158.61799999999999</v>
      </c>
      <c r="R53" s="399"/>
      <c r="S53" s="399">
        <v>415.98</v>
      </c>
      <c r="T53" s="399">
        <v>215.17</v>
      </c>
      <c r="U53" s="399"/>
      <c r="V53" s="399">
        <v>100111.7507</v>
      </c>
      <c r="W53" s="399">
        <v>100111.7507</v>
      </c>
      <c r="X53" s="399">
        <v>87008.317719999992</v>
      </c>
      <c r="Y53" s="399">
        <v>0</v>
      </c>
      <c r="Z53" s="399">
        <v>9689.4340165037847</v>
      </c>
      <c r="AA53" s="399">
        <v>0</v>
      </c>
      <c r="AB53" s="399">
        <v>0</v>
      </c>
      <c r="AC53" s="399">
        <v>0</v>
      </c>
      <c r="AD53" s="399">
        <v>14167.058256842136</v>
      </c>
      <c r="AE53" s="399">
        <v>40100.294587822442</v>
      </c>
      <c r="AF53" s="399">
        <v>33430.637015803761</v>
      </c>
      <c r="AG53" s="399">
        <v>699.02547092715167</v>
      </c>
      <c r="AH53" s="399">
        <v>0</v>
      </c>
      <c r="AI53" s="399">
        <v>0</v>
      </c>
      <c r="AJ53" s="399">
        <v>0</v>
      </c>
      <c r="AK53" s="399">
        <v>0</v>
      </c>
      <c r="AL53" s="399">
        <v>1497.2661023165379</v>
      </c>
      <c r="AM53" s="399"/>
      <c r="AN53" s="399">
        <v>186.75643329870815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341.33555337699653</v>
      </c>
      <c r="BH53" s="399">
        <v>0</v>
      </c>
      <c r="BI53" s="399">
        <v>0</v>
      </c>
      <c r="BJ53" s="399">
        <v>0</v>
      </c>
      <c r="BK53" s="399">
        <v>38616.76</v>
      </c>
      <c r="BL53" s="399">
        <v>446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33771.972569180754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87009.414799999999</v>
      </c>
      <c r="CJ53" s="399">
        <v>-13102.36589999999</v>
      </c>
      <c r="CK53" s="399"/>
      <c r="CL53" s="399"/>
      <c r="CM53" s="399"/>
      <c r="CN53" s="399"/>
      <c r="CO53" s="399">
        <v>-17414.670220000004</v>
      </c>
      <c r="CP53" s="399">
        <v>4311.2372400000013</v>
      </c>
      <c r="CQ53" s="399">
        <v>31</v>
      </c>
      <c r="CR53" s="399">
        <v>4491.0931964720367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589.6638770193822</v>
      </c>
      <c r="DA53" s="399">
        <v>0</v>
      </c>
      <c r="DB53" s="399">
        <v>0</v>
      </c>
      <c r="DC53" s="399">
        <v>4311.1555642857202</v>
      </c>
      <c r="DD53" s="399">
        <v>0</v>
      </c>
      <c r="DE53" s="399">
        <v>0</v>
      </c>
      <c r="DF53" s="399">
        <v>0</v>
      </c>
      <c r="DG53" s="399">
        <v>44.018026624325557</v>
      </c>
      <c r="DH53" s="399">
        <v>0</v>
      </c>
      <c r="DI53" s="399">
        <v>-393.96267230633748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-47.606382094597166</v>
      </c>
      <c r="DP53" s="399">
        <v>-12.175217056456518</v>
      </c>
      <c r="DQ53" s="399">
        <v>0</v>
      </c>
      <c r="DR53" s="399">
        <v>0</v>
      </c>
      <c r="DS53" s="399"/>
      <c r="DT53" s="399"/>
      <c r="DU53" s="399"/>
      <c r="DV53" s="399">
        <v>40100.294587822442</v>
      </c>
      <c r="DW53" s="399">
        <v>0</v>
      </c>
      <c r="DX53" s="399">
        <v>0</v>
      </c>
      <c r="DY53" s="399">
        <v>-17414.670220000007</v>
      </c>
      <c r="DZ53" s="399">
        <v>4311.2372400000022</v>
      </c>
      <c r="EA53" s="399">
        <v>0</v>
      </c>
      <c r="EB53" s="399">
        <v>0</v>
      </c>
      <c r="EC53" s="399">
        <v>-17594.898743473368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216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2354</v>
      </c>
      <c r="C54" s="399" t="s">
        <v>2352</v>
      </c>
      <c r="D54" s="399" t="s">
        <v>1824</v>
      </c>
      <c r="E54" s="399" t="s">
        <v>916</v>
      </c>
      <c r="F54" s="399" t="s">
        <v>1237</v>
      </c>
      <c r="G54" s="399" t="s">
        <v>1237</v>
      </c>
      <c r="H54" s="399" t="s">
        <v>1237</v>
      </c>
      <c r="I54" s="399" t="s">
        <v>1237</v>
      </c>
      <c r="J54" s="399" t="s">
        <v>2353</v>
      </c>
      <c r="K54" s="789">
        <v>44470</v>
      </c>
      <c r="L54" s="399">
        <v>0</v>
      </c>
      <c r="M54" s="399">
        <v>0</v>
      </c>
      <c r="N54" s="399">
        <v>0.97199999999999998</v>
      </c>
      <c r="O54" s="399">
        <v>0.97199999999999998</v>
      </c>
      <c r="P54" s="399">
        <v>0.97199999999999998</v>
      </c>
      <c r="Q54" s="399">
        <v>0.97199999999999998</v>
      </c>
      <c r="R54" s="399"/>
      <c r="S54" s="399">
        <v>415.98</v>
      </c>
      <c r="T54" s="399">
        <v>215.17</v>
      </c>
      <c r="U54" s="399"/>
      <c r="V54" s="399">
        <v>613.4778</v>
      </c>
      <c r="W54" s="399">
        <v>613.4778</v>
      </c>
      <c r="X54" s="399">
        <v>533.18088</v>
      </c>
      <c r="Y54" s="399">
        <v>0</v>
      </c>
      <c r="Z54" s="399">
        <v>59.376173347549958</v>
      </c>
      <c r="AA54" s="399">
        <v>0</v>
      </c>
      <c r="AB54" s="399">
        <v>0</v>
      </c>
      <c r="AC54" s="399">
        <v>0</v>
      </c>
      <c r="AD54" s="399">
        <v>86.814741237757104</v>
      </c>
      <c r="AE54" s="399">
        <v>245.73179802647499</v>
      </c>
      <c r="AF54" s="399">
        <v>204.86060333229051</v>
      </c>
      <c r="AG54" s="399">
        <v>4.2835791507974594</v>
      </c>
      <c r="AH54" s="399">
        <v>0</v>
      </c>
      <c r="AI54" s="399">
        <v>0</v>
      </c>
      <c r="AJ54" s="399">
        <v>0</v>
      </c>
      <c r="AK54" s="399">
        <v>0</v>
      </c>
      <c r="AL54" s="399">
        <v>9.1751418593833911</v>
      </c>
      <c r="AM54" s="399"/>
      <c r="AN54" s="399">
        <v>1.1444303494328785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2.0916803760130667</v>
      </c>
      <c r="BH54" s="399">
        <v>0</v>
      </c>
      <c r="BI54" s="399">
        <v>0</v>
      </c>
      <c r="BJ54" s="399">
        <v>0</v>
      </c>
      <c r="BK54" s="399">
        <v>237.63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206.95228370830358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532.0838</v>
      </c>
      <c r="CJ54" s="399">
        <v>-81.423999999999978</v>
      </c>
      <c r="CK54" s="399"/>
      <c r="CL54" s="399"/>
      <c r="CM54" s="399"/>
      <c r="CN54" s="399"/>
      <c r="CO54" s="399">
        <v>-106.71588000000001</v>
      </c>
      <c r="CP54" s="399">
        <v>26.418960000000006</v>
      </c>
      <c r="CQ54" s="399">
        <v>31</v>
      </c>
      <c r="CR54" s="399">
        <v>27.521104710504574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3.6134189591524262</v>
      </c>
      <c r="DA54" s="399">
        <v>0</v>
      </c>
      <c r="DB54" s="399">
        <v>0</v>
      </c>
      <c r="DC54" s="399">
        <v>26.418459496940585</v>
      </c>
      <c r="DD54" s="399">
        <v>0</v>
      </c>
      <c r="DE54" s="399">
        <v>0</v>
      </c>
      <c r="DF54" s="399">
        <v>0</v>
      </c>
      <c r="DG54" s="399">
        <v>0.26973938568664613</v>
      </c>
      <c r="DH54" s="399">
        <v>0</v>
      </c>
      <c r="DI54" s="399">
        <v>-2.4141756766682292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-0.29172857680684672</v>
      </c>
      <c r="DP54" s="399">
        <v>-7.4608877799970719E-2</v>
      </c>
      <c r="DQ54" s="399">
        <v>0</v>
      </c>
      <c r="DR54" s="399">
        <v>0</v>
      </c>
      <c r="DS54" s="399"/>
      <c r="DT54" s="399"/>
      <c r="DU54" s="399"/>
      <c r="DV54" s="399">
        <v>245.73179802647499</v>
      </c>
      <c r="DW54" s="399">
        <v>0</v>
      </c>
      <c r="DX54" s="399">
        <v>0</v>
      </c>
      <c r="DY54" s="399">
        <v>-106.71588000000003</v>
      </c>
      <c r="DZ54" s="399">
        <v>26.418960000000027</v>
      </c>
      <c r="EA54" s="399">
        <v>0</v>
      </c>
      <c r="EB54" s="399">
        <v>0</v>
      </c>
      <c r="EC54" s="399">
        <v>-107.82030777500734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216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2355</v>
      </c>
      <c r="C55" s="399" t="s">
        <v>2352</v>
      </c>
      <c r="D55" s="399" t="s">
        <v>1824</v>
      </c>
      <c r="E55" s="399" t="s">
        <v>916</v>
      </c>
      <c r="F55" s="399" t="s">
        <v>1237</v>
      </c>
      <c r="G55" s="399" t="s">
        <v>1237</v>
      </c>
      <c r="H55" s="399" t="s">
        <v>1237</v>
      </c>
      <c r="I55" s="399" t="s">
        <v>1237</v>
      </c>
      <c r="J55" s="399" t="s">
        <v>2353</v>
      </c>
      <c r="K55" s="789">
        <v>44470</v>
      </c>
      <c r="L55" s="399">
        <v>0</v>
      </c>
      <c r="M55" s="399">
        <v>0</v>
      </c>
      <c r="N55" s="399">
        <v>7.452</v>
      </c>
      <c r="O55" s="399">
        <v>7.452</v>
      </c>
      <c r="P55" s="399">
        <v>7.452</v>
      </c>
      <c r="Q55" s="399">
        <v>7.452</v>
      </c>
      <c r="R55" s="399"/>
      <c r="S55" s="399">
        <v>415.98</v>
      </c>
      <c r="T55" s="399">
        <v>215.17</v>
      </c>
      <c r="U55" s="399"/>
      <c r="V55" s="399">
        <v>4703.3297999999995</v>
      </c>
      <c r="W55" s="399">
        <v>4703.3297999999995</v>
      </c>
      <c r="X55" s="399">
        <v>4087.7200800000001</v>
      </c>
      <c r="Y55" s="399">
        <v>0</v>
      </c>
      <c r="Z55" s="399">
        <v>455.21732899788304</v>
      </c>
      <c r="AA55" s="399">
        <v>0</v>
      </c>
      <c r="AB55" s="399">
        <v>0</v>
      </c>
      <c r="AC55" s="399">
        <v>0</v>
      </c>
      <c r="AD55" s="399">
        <v>665.57968282280444</v>
      </c>
      <c r="AE55" s="399">
        <v>1883.9437848696416</v>
      </c>
      <c r="AF55" s="399">
        <v>1570.5979588808939</v>
      </c>
      <c r="AG55" s="399">
        <v>32.840773489447187</v>
      </c>
      <c r="AH55" s="399">
        <v>0</v>
      </c>
      <c r="AI55" s="399">
        <v>0</v>
      </c>
      <c r="AJ55" s="399">
        <v>0</v>
      </c>
      <c r="AK55" s="399">
        <v>0</v>
      </c>
      <c r="AL55" s="399">
        <v>70.342754255272666</v>
      </c>
      <c r="AM55" s="399"/>
      <c r="AN55" s="399">
        <v>8.773966012318736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16.036216216100179</v>
      </c>
      <c r="BH55" s="399">
        <v>0</v>
      </c>
      <c r="BI55" s="399">
        <v>0</v>
      </c>
      <c r="BJ55" s="399">
        <v>0</v>
      </c>
      <c r="BK55" s="399">
        <v>2772.91</v>
      </c>
      <c r="BL55" s="399">
        <v>8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1586.6341750969941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4086.6229999999996</v>
      </c>
      <c r="CJ55" s="399">
        <v>-616.73680000000058</v>
      </c>
      <c r="CK55" s="399"/>
      <c r="CL55" s="399"/>
      <c r="CM55" s="399"/>
      <c r="CN55" s="399"/>
      <c r="CO55" s="399">
        <v>-818.15508000000011</v>
      </c>
      <c r="CP55" s="399">
        <v>202.54536000000004</v>
      </c>
      <c r="CQ55" s="399">
        <v>31</v>
      </c>
      <c r="CR55" s="399">
        <v>210.99513611386874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27.70287868683522</v>
      </c>
      <c r="DA55" s="399">
        <v>0</v>
      </c>
      <c r="DB55" s="399">
        <v>0</v>
      </c>
      <c r="DC55" s="399">
        <v>202.54152280987796</v>
      </c>
      <c r="DD55" s="399">
        <v>0</v>
      </c>
      <c r="DE55" s="399">
        <v>0</v>
      </c>
      <c r="DF55" s="399">
        <v>0</v>
      </c>
      <c r="DG55" s="399">
        <v>2.0680019569309529</v>
      </c>
      <c r="DH55" s="399">
        <v>0</v>
      </c>
      <c r="DI55" s="399">
        <v>-18.508680187789764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-2.2365857555191582</v>
      </c>
      <c r="DP55" s="399">
        <v>-0.5720013964664421</v>
      </c>
      <c r="DQ55" s="399">
        <v>0</v>
      </c>
      <c r="DR55" s="399">
        <v>0</v>
      </c>
      <c r="DS55" s="399"/>
      <c r="DT55" s="399"/>
      <c r="DU55" s="399"/>
      <c r="DV55" s="399">
        <v>1883.9437848696416</v>
      </c>
      <c r="DW55" s="399">
        <v>0</v>
      </c>
      <c r="DX55" s="399">
        <v>0</v>
      </c>
      <c r="DY55" s="399">
        <v>-818.15508</v>
      </c>
      <c r="DZ55" s="399">
        <v>202.54536000000007</v>
      </c>
      <c r="EA55" s="399">
        <v>0</v>
      </c>
      <c r="EB55" s="399">
        <v>0</v>
      </c>
      <c r="EC55" s="399">
        <v>-826.62235960838939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216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954</v>
      </c>
      <c r="C56" s="399" t="s">
        <v>2360</v>
      </c>
      <c r="D56" s="399" t="s">
        <v>533</v>
      </c>
      <c r="E56" s="399" t="s">
        <v>916</v>
      </c>
      <c r="F56" s="399" t="s">
        <v>1237</v>
      </c>
      <c r="G56" s="399" t="s">
        <v>1237</v>
      </c>
      <c r="H56" s="399" t="s">
        <v>1237</v>
      </c>
      <c r="I56" s="399" t="s">
        <v>891</v>
      </c>
      <c r="J56" s="399" t="s">
        <v>2353</v>
      </c>
      <c r="K56" s="789">
        <v>44470</v>
      </c>
      <c r="L56" s="399">
        <v>0</v>
      </c>
      <c r="M56" s="399">
        <v>0</v>
      </c>
      <c r="N56" s="399">
        <v>2.198</v>
      </c>
      <c r="O56" s="399">
        <v>2.198</v>
      </c>
      <c r="P56" s="399">
        <v>2.198</v>
      </c>
      <c r="Q56" s="399">
        <v>2.198</v>
      </c>
      <c r="R56" s="399"/>
      <c r="S56" s="399">
        <v>2184.0300000000002</v>
      </c>
      <c r="T56" s="399">
        <v>215.17</v>
      </c>
      <c r="U56" s="399"/>
      <c r="V56" s="399">
        <v>5273.4416000000001</v>
      </c>
      <c r="W56" s="399">
        <v>5273.4416000000001</v>
      </c>
      <c r="X56" s="399">
        <v>3979.23722</v>
      </c>
      <c r="Y56" s="399">
        <v>0</v>
      </c>
      <c r="Z56" s="399">
        <v>116.81345807159028</v>
      </c>
      <c r="AA56" s="399">
        <v>0</v>
      </c>
      <c r="AB56" s="399">
        <v>0</v>
      </c>
      <c r="AC56" s="399">
        <v>0</v>
      </c>
      <c r="AD56" s="399">
        <v>1448.4693970046062</v>
      </c>
      <c r="AE56" s="399">
        <v>3211.119911224785</v>
      </c>
      <c r="AF56" s="399">
        <v>463.25473881108491</v>
      </c>
      <c r="AG56" s="399">
        <v>9.6865298080790279</v>
      </c>
      <c r="AH56" s="399">
        <v>0</v>
      </c>
      <c r="AI56" s="399">
        <v>0</v>
      </c>
      <c r="AJ56" s="399">
        <v>0</v>
      </c>
      <c r="AK56" s="399">
        <v>0</v>
      </c>
      <c r="AL56" s="399">
        <v>20.747903093543922</v>
      </c>
      <c r="AM56" s="399"/>
      <c r="AN56" s="399">
        <v>1.5163400761718853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1.8262106722659726</v>
      </c>
      <c r="BH56" s="399">
        <v>0</v>
      </c>
      <c r="BI56" s="399">
        <v>0</v>
      </c>
      <c r="BJ56" s="399">
        <v>0</v>
      </c>
      <c r="BK56" s="399">
        <v>0</v>
      </c>
      <c r="BL56" s="399">
        <v>0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465.08094948335088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3982.8580000000002</v>
      </c>
      <c r="CJ56" s="399">
        <v>-1290.6136000000006</v>
      </c>
      <c r="CK56" s="399"/>
      <c r="CL56" s="399"/>
      <c r="CM56" s="399"/>
      <c r="CN56" s="399"/>
      <c r="CO56" s="399">
        <v>-1353.9460200000005</v>
      </c>
      <c r="CP56" s="399">
        <v>59.741640000000011</v>
      </c>
      <c r="CQ56" s="399">
        <v>31</v>
      </c>
      <c r="CR56" s="399">
        <v>114.75640629917052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60.28845684806538</v>
      </c>
      <c r="DA56" s="399">
        <v>0</v>
      </c>
      <c r="DB56" s="399">
        <v>0</v>
      </c>
      <c r="DC56" s="399">
        <v>59.740508203987076</v>
      </c>
      <c r="DD56" s="399">
        <v>0</v>
      </c>
      <c r="DE56" s="399">
        <v>0</v>
      </c>
      <c r="DF56" s="399">
        <v>0</v>
      </c>
      <c r="DG56" s="399">
        <v>0.23550488426456817</v>
      </c>
      <c r="DH56" s="399">
        <v>0</v>
      </c>
      <c r="DI56" s="399">
        <v>-4.7495180858697665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-0.65969075290272272</v>
      </c>
      <c r="DP56" s="399">
        <v>-9.8854798374034658E-2</v>
      </c>
      <c r="DQ56" s="399">
        <v>0</v>
      </c>
      <c r="DR56" s="399">
        <v>0</v>
      </c>
      <c r="DS56" s="399"/>
      <c r="DT56" s="399"/>
      <c r="DU56" s="399"/>
      <c r="DV56" s="399">
        <v>3211.119911224785</v>
      </c>
      <c r="DW56" s="399">
        <v>0</v>
      </c>
      <c r="DX56" s="399">
        <v>0</v>
      </c>
      <c r="DY56" s="399">
        <v>-1353.9460200000003</v>
      </c>
      <c r="DZ56" s="399">
        <v>59.741640000000018</v>
      </c>
      <c r="EA56" s="399">
        <v>0</v>
      </c>
      <c r="EB56" s="399">
        <v>0</v>
      </c>
      <c r="EC56" s="399">
        <v>-1408.9504895634568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216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954</v>
      </c>
      <c r="C57" s="399" t="s">
        <v>2360</v>
      </c>
      <c r="D57" s="399" t="s">
        <v>533</v>
      </c>
      <c r="E57" s="399" t="s">
        <v>916</v>
      </c>
      <c r="F57" s="399" t="s">
        <v>1237</v>
      </c>
      <c r="G57" s="399" t="s">
        <v>1237</v>
      </c>
      <c r="H57" s="399" t="s">
        <v>1237</v>
      </c>
      <c r="I57" s="399" t="s">
        <v>2327</v>
      </c>
      <c r="J57" s="399" t="s">
        <v>2353</v>
      </c>
      <c r="K57" s="789">
        <v>44470</v>
      </c>
      <c r="L57" s="399">
        <v>0</v>
      </c>
      <c r="M57" s="399">
        <v>0</v>
      </c>
      <c r="N57" s="399">
        <v>26.542000000000002</v>
      </c>
      <c r="O57" s="399">
        <v>26.542000000000002</v>
      </c>
      <c r="P57" s="399">
        <v>26.542000000000002</v>
      </c>
      <c r="Q57" s="399">
        <v>26.542000000000002</v>
      </c>
      <c r="R57" s="399"/>
      <c r="S57" s="399">
        <v>64.11</v>
      </c>
      <c r="T57" s="399">
        <v>215.17</v>
      </c>
      <c r="U57" s="399"/>
      <c r="V57" s="399">
        <v>7412.6497599999993</v>
      </c>
      <c r="W57" s="399">
        <v>7412.6497599999993</v>
      </c>
      <c r="X57" s="399">
        <v>8070.3605200000002</v>
      </c>
      <c r="Y57" s="399">
        <v>0</v>
      </c>
      <c r="Z57" s="399">
        <v>1410.5836233558459</v>
      </c>
      <c r="AA57" s="399">
        <v>0</v>
      </c>
      <c r="AB57" s="399">
        <v>0</v>
      </c>
      <c r="AC57" s="399">
        <v>0</v>
      </c>
      <c r="AD57" s="399">
        <v>0</v>
      </c>
      <c r="AE57" s="399">
        <v>0</v>
      </c>
      <c r="AF57" s="399">
        <v>5594.0433473720732</v>
      </c>
      <c r="AG57" s="399">
        <v>116.9699154531545</v>
      </c>
      <c r="AH57" s="399">
        <v>0</v>
      </c>
      <c r="AI57" s="399">
        <v>0</v>
      </c>
      <c r="AJ57" s="399">
        <v>0</v>
      </c>
      <c r="AK57" s="399">
        <v>0</v>
      </c>
      <c r="AL57" s="399">
        <v>250.54178521785389</v>
      </c>
      <c r="AM57" s="399"/>
      <c r="AN57" s="399">
        <v>18.310599773318554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22.052449346352798</v>
      </c>
      <c r="BH57" s="399">
        <v>0</v>
      </c>
      <c r="BI57" s="399">
        <v>0</v>
      </c>
      <c r="BJ57" s="399">
        <v>0</v>
      </c>
      <c r="BK57" s="399">
        <v>0</v>
      </c>
      <c r="BL57" s="399">
        <v>0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5616.0957967184258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8069.7524000000003</v>
      </c>
      <c r="CJ57" s="399">
        <v>657.07264000000032</v>
      </c>
      <c r="CK57" s="399"/>
      <c r="CL57" s="399"/>
      <c r="CM57" s="399"/>
      <c r="CN57" s="399"/>
      <c r="CO57" s="399">
        <v>-63.700799999999965</v>
      </c>
      <c r="CP57" s="399">
        <v>721.41156000000024</v>
      </c>
      <c r="CQ57" s="399">
        <v>31</v>
      </c>
      <c r="CR57" s="399">
        <v>657.72898741184417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0</v>
      </c>
      <c r="DA57" s="399">
        <v>0</v>
      </c>
      <c r="DB57" s="399">
        <v>0</v>
      </c>
      <c r="DC57" s="399">
        <v>721.39789297098469</v>
      </c>
      <c r="DD57" s="399">
        <v>0</v>
      </c>
      <c r="DE57" s="399">
        <v>0</v>
      </c>
      <c r="DF57" s="399">
        <v>0</v>
      </c>
      <c r="DG57" s="399">
        <v>2.8438446943358358</v>
      </c>
      <c r="DH57" s="399">
        <v>0</v>
      </c>
      <c r="DI57" s="399">
        <v>-57.35291584856941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-7.9661109934231433</v>
      </c>
      <c r="DP57" s="399">
        <v>-1.1937234114848181</v>
      </c>
      <c r="DQ57" s="399">
        <v>0</v>
      </c>
      <c r="DR57" s="399">
        <v>0</v>
      </c>
      <c r="DS57" s="399"/>
      <c r="DT57" s="399"/>
      <c r="DU57" s="399"/>
      <c r="DV57" s="399">
        <v>0</v>
      </c>
      <c r="DW57" s="399">
        <v>0</v>
      </c>
      <c r="DX57" s="399">
        <v>0</v>
      </c>
      <c r="DY57" s="399">
        <v>-63.700799999999845</v>
      </c>
      <c r="DZ57" s="399">
        <v>721.41156000000046</v>
      </c>
      <c r="EA57" s="399">
        <v>0</v>
      </c>
      <c r="EB57" s="399">
        <v>0</v>
      </c>
      <c r="EC57" s="399">
        <v>0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216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954</v>
      </c>
      <c r="C58" s="399" t="s">
        <v>2360</v>
      </c>
      <c r="D58" s="399" t="s">
        <v>533</v>
      </c>
      <c r="E58" s="399" t="s">
        <v>916</v>
      </c>
      <c r="F58" s="399" t="s">
        <v>1237</v>
      </c>
      <c r="G58" s="399" t="s">
        <v>1237</v>
      </c>
      <c r="H58" s="399" t="s">
        <v>1237</v>
      </c>
      <c r="I58" s="399" t="s">
        <v>1237</v>
      </c>
      <c r="J58" s="399" t="s">
        <v>2353</v>
      </c>
      <c r="K58" s="789">
        <v>44470</v>
      </c>
      <c r="L58" s="399">
        <v>95</v>
      </c>
      <c r="M58" s="399">
        <v>95</v>
      </c>
      <c r="N58" s="399">
        <v>0</v>
      </c>
      <c r="O58" s="399">
        <v>0</v>
      </c>
      <c r="P58" s="399">
        <v>0</v>
      </c>
      <c r="Q58" s="399">
        <v>0</v>
      </c>
      <c r="R58" s="399">
        <v>28.04</v>
      </c>
      <c r="S58" s="399"/>
      <c r="T58" s="399"/>
      <c r="U58" s="399">
        <v>2663.7999999999997</v>
      </c>
      <c r="V58" s="399"/>
      <c r="W58" s="399">
        <v>2663.7999999999997</v>
      </c>
      <c r="X58" s="399">
        <v>2000.6999999999998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1051.7143524779085</v>
      </c>
      <c r="AE58" s="399">
        <v>1612.5584905272081</v>
      </c>
      <c r="AF58" s="399"/>
      <c r="AG58" s="399"/>
      <c r="AH58" s="399"/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0</v>
      </c>
      <c r="AO58" s="399">
        <v>0</v>
      </c>
      <c r="AP58" s="399">
        <v>0</v>
      </c>
      <c r="AQ58" s="399">
        <v>0</v>
      </c>
      <c r="AR58" s="399">
        <v>0</v>
      </c>
      <c r="AS58" s="399"/>
      <c r="AT58" s="399"/>
      <c r="AU58" s="399">
        <v>0</v>
      </c>
      <c r="AV58" s="399">
        <v>0</v>
      </c>
      <c r="AW58" s="399">
        <v>0</v>
      </c>
      <c r="AX58" s="399"/>
      <c r="AY58" s="399"/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/>
      <c r="BG58" s="399">
        <v>0</v>
      </c>
      <c r="BH58" s="399">
        <v>0</v>
      </c>
      <c r="BI58" s="399">
        <v>0</v>
      </c>
      <c r="BJ58" s="399">
        <v>0</v>
      </c>
      <c r="BK58" s="399">
        <v>5559.94</v>
      </c>
      <c r="BL58" s="399">
        <v>1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0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2000.6999999999998</v>
      </c>
      <c r="CJ58" s="399">
        <v>-663.13000000000056</v>
      </c>
      <c r="CK58" s="399"/>
      <c r="CL58" s="399"/>
      <c r="CM58" s="399"/>
      <c r="CN58" s="399"/>
      <c r="CO58" s="399">
        <v>-663.1</v>
      </c>
      <c r="CP58" s="399">
        <v>0</v>
      </c>
      <c r="CQ58" s="399">
        <v>31</v>
      </c>
      <c r="CR58" s="399">
        <v>43.774646179595493</v>
      </c>
      <c r="CS58" s="399">
        <v>0</v>
      </c>
      <c r="CT58" s="399">
        <v>0</v>
      </c>
      <c r="CU58" s="399">
        <v>0</v>
      </c>
      <c r="CV58" s="399">
        <v>0</v>
      </c>
      <c r="CW58" s="399"/>
      <c r="CX58" s="399"/>
      <c r="CY58" s="399"/>
      <c r="CZ58" s="399">
        <v>43.774646179595493</v>
      </c>
      <c r="DA58" s="399">
        <v>0</v>
      </c>
      <c r="DB58" s="399">
        <v>0</v>
      </c>
      <c r="DC58" s="399"/>
      <c r="DD58" s="399"/>
      <c r="DE58" s="399">
        <v>0</v>
      </c>
      <c r="DF58" s="399">
        <v>0</v>
      </c>
      <c r="DG58" s="399">
        <v>0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/>
      <c r="DN58" s="399">
        <v>0</v>
      </c>
      <c r="DO58" s="399">
        <v>0</v>
      </c>
      <c r="DP58" s="399">
        <v>0</v>
      </c>
      <c r="DQ58" s="399">
        <v>0</v>
      </c>
      <c r="DR58" s="399">
        <v>0</v>
      </c>
      <c r="DS58" s="399"/>
      <c r="DT58" s="399"/>
      <c r="DU58" s="399">
        <v>1612.5584905272081</v>
      </c>
      <c r="DV58" s="399"/>
      <c r="DW58" s="399">
        <v>0</v>
      </c>
      <c r="DX58" s="399">
        <v>0</v>
      </c>
      <c r="DY58" s="399">
        <v>-663.09999999999991</v>
      </c>
      <c r="DZ58" s="399"/>
      <c r="EA58" s="399">
        <v>0</v>
      </c>
      <c r="EB58" s="399"/>
      <c r="EC58" s="399">
        <v>-707.54600808769794</v>
      </c>
      <c r="ED58" s="399"/>
      <c r="EE58" s="399">
        <v>0</v>
      </c>
      <c r="EF58" s="399">
        <v>0</v>
      </c>
      <c r="EG58" s="399"/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/>
      <c r="EN58" s="399"/>
      <c r="EO58" s="399">
        <v>0</v>
      </c>
      <c r="EP58" s="399">
        <v>0</v>
      </c>
      <c r="EQ58" s="399"/>
      <c r="ER58" s="399">
        <v>0</v>
      </c>
      <c r="ES58" s="399"/>
      <c r="ET58" s="399">
        <v>0</v>
      </c>
      <c r="EU58" s="399"/>
      <c r="EV58" s="399">
        <v>216</v>
      </c>
      <c r="EW58" s="399"/>
      <c r="EX58" s="399"/>
      <c r="EY58" s="399"/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954</v>
      </c>
      <c r="C59" s="399" t="s">
        <v>2361</v>
      </c>
      <c r="D59" s="399" t="s">
        <v>1824</v>
      </c>
      <c r="E59" s="399" t="s">
        <v>916</v>
      </c>
      <c r="F59" s="399" t="s">
        <v>1237</v>
      </c>
      <c r="G59" s="399" t="s">
        <v>1237</v>
      </c>
      <c r="H59" s="399" t="s">
        <v>1237</v>
      </c>
      <c r="I59" s="399" t="s">
        <v>891</v>
      </c>
      <c r="J59" s="399" t="s">
        <v>2353</v>
      </c>
      <c r="K59" s="789">
        <v>44470</v>
      </c>
      <c r="L59" s="399">
        <v>0</v>
      </c>
      <c r="M59" s="399">
        <v>0</v>
      </c>
      <c r="N59" s="399">
        <v>5.1999999999999998E-2</v>
      </c>
      <c r="O59" s="399">
        <v>5.1999999999999998E-2</v>
      </c>
      <c r="P59" s="399">
        <v>5.1999999999999998E-2</v>
      </c>
      <c r="Q59" s="399">
        <v>5.1999999999999998E-2</v>
      </c>
      <c r="R59" s="399"/>
      <c r="S59" s="399">
        <v>1254.27</v>
      </c>
      <c r="T59" s="399">
        <v>215.17</v>
      </c>
      <c r="U59" s="399"/>
      <c r="V59" s="399">
        <v>76.410879999999992</v>
      </c>
      <c r="W59" s="399">
        <v>76.410879999999992</v>
      </c>
      <c r="X59" s="399">
        <v>58.45684</v>
      </c>
      <c r="Y59" s="399">
        <v>0</v>
      </c>
      <c r="Z59" s="399">
        <v>3.1765031008977345</v>
      </c>
      <c r="AA59" s="399">
        <v>0</v>
      </c>
      <c r="AB59" s="399">
        <v>0</v>
      </c>
      <c r="AC59" s="399">
        <v>0</v>
      </c>
      <c r="AD59" s="399">
        <v>16.027221514839496</v>
      </c>
      <c r="AE59" s="399">
        <v>45.354188899018318</v>
      </c>
      <c r="AF59" s="399">
        <v>10.959620754402373</v>
      </c>
      <c r="AG59" s="399">
        <v>0.22916267061879411</v>
      </c>
      <c r="AH59" s="399">
        <v>0</v>
      </c>
      <c r="AI59" s="399">
        <v>0</v>
      </c>
      <c r="AJ59" s="399">
        <v>0</v>
      </c>
      <c r="AK59" s="399">
        <v>0</v>
      </c>
      <c r="AL59" s="399">
        <v>0.49085121058429665</v>
      </c>
      <c r="AM59" s="399"/>
      <c r="AN59" s="399">
        <v>6.1224668899701316E-2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0.11190059624761263</v>
      </c>
      <c r="BH59" s="399">
        <v>0</v>
      </c>
      <c r="BI59" s="399">
        <v>0</v>
      </c>
      <c r="BJ59" s="399">
        <v>0</v>
      </c>
      <c r="BK59" s="399">
        <v>0</v>
      </c>
      <c r="BL59" s="399">
        <v>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11.071521350649986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56.208500000000008</v>
      </c>
      <c r="CJ59" s="399">
        <v>-20.232379999999999</v>
      </c>
      <c r="CK59" s="399"/>
      <c r="CL59" s="399"/>
      <c r="CM59" s="399"/>
      <c r="CN59" s="399"/>
      <c r="CO59" s="399">
        <v>-19.367399999999996</v>
      </c>
      <c r="CP59" s="399">
        <v>1.4133600000000004</v>
      </c>
      <c r="CQ59" s="399">
        <v>31</v>
      </c>
      <c r="CR59" s="399">
        <v>1.9460999256018852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0.6670879306735813</v>
      </c>
      <c r="DA59" s="399">
        <v>0</v>
      </c>
      <c r="DB59" s="399">
        <v>0</v>
      </c>
      <c r="DC59" s="399">
        <v>1.4133332241161636</v>
      </c>
      <c r="DD59" s="399">
        <v>0</v>
      </c>
      <c r="DE59" s="399">
        <v>0</v>
      </c>
      <c r="DF59" s="399">
        <v>0</v>
      </c>
      <c r="DG59" s="399">
        <v>1.4430502114923457E-2</v>
      </c>
      <c r="DH59" s="399">
        <v>0</v>
      </c>
      <c r="DI59" s="399">
        <v>-0.12915343126208656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-1.5606878594604967E-2</v>
      </c>
      <c r="DP59" s="399">
        <v>-3.9914214460889663E-3</v>
      </c>
      <c r="DQ59" s="399">
        <v>0</v>
      </c>
      <c r="DR59" s="399">
        <v>0</v>
      </c>
      <c r="DS59" s="399"/>
      <c r="DT59" s="399"/>
      <c r="DU59" s="399"/>
      <c r="DV59" s="399">
        <v>45.354188899018318</v>
      </c>
      <c r="DW59" s="399">
        <v>0</v>
      </c>
      <c r="DX59" s="399">
        <v>0</v>
      </c>
      <c r="DY59" s="399">
        <v>-19.367399999999989</v>
      </c>
      <c r="DZ59" s="399">
        <v>1.4133600000000008</v>
      </c>
      <c r="EA59" s="399">
        <v>0</v>
      </c>
      <c r="EB59" s="399">
        <v>0</v>
      </c>
      <c r="EC59" s="399">
        <v>-19.900162067959624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216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954</v>
      </c>
      <c r="C60" s="399" t="s">
        <v>2361</v>
      </c>
      <c r="D60" s="399" t="s">
        <v>1824</v>
      </c>
      <c r="E60" s="399" t="s">
        <v>916</v>
      </c>
      <c r="F60" s="399" t="s">
        <v>1237</v>
      </c>
      <c r="G60" s="399" t="s">
        <v>1237</v>
      </c>
      <c r="H60" s="399" t="s">
        <v>1237</v>
      </c>
      <c r="I60" s="399" t="s">
        <v>2327</v>
      </c>
      <c r="J60" s="399" t="s">
        <v>2353</v>
      </c>
      <c r="K60" s="789">
        <v>44470</v>
      </c>
      <c r="L60" s="399">
        <v>0</v>
      </c>
      <c r="M60" s="399">
        <v>0</v>
      </c>
      <c r="N60" s="399">
        <v>0.56000000000000005</v>
      </c>
      <c r="O60" s="399">
        <v>0.56000000000000005</v>
      </c>
      <c r="P60" s="399">
        <v>0.56000000000000005</v>
      </c>
      <c r="Q60" s="399">
        <v>0.56000000000000005</v>
      </c>
      <c r="R60" s="399"/>
      <c r="S60" s="399">
        <v>309.91000000000003</v>
      </c>
      <c r="T60" s="399">
        <v>215.17</v>
      </c>
      <c r="U60" s="399"/>
      <c r="V60" s="399">
        <v>294.04480000000001</v>
      </c>
      <c r="W60" s="399">
        <v>294.04480000000001</v>
      </c>
      <c r="X60" s="399">
        <v>266.39200000000005</v>
      </c>
      <c r="Y60" s="399">
        <v>0</v>
      </c>
      <c r="Z60" s="399">
        <v>34.208494932744834</v>
      </c>
      <c r="AA60" s="399">
        <v>0</v>
      </c>
      <c r="AB60" s="399">
        <v>0</v>
      </c>
      <c r="AC60" s="399">
        <v>0</v>
      </c>
      <c r="AD60" s="399">
        <v>34.505335426750221</v>
      </c>
      <c r="AE60" s="399">
        <v>97.686037931656728</v>
      </c>
      <c r="AF60" s="399">
        <v>118.02668504741018</v>
      </c>
      <c r="AG60" s="399">
        <v>2.4679056835870137</v>
      </c>
      <c r="AH60" s="399">
        <v>0</v>
      </c>
      <c r="AI60" s="399">
        <v>0</v>
      </c>
      <c r="AJ60" s="399">
        <v>0</v>
      </c>
      <c r="AK60" s="399">
        <v>0</v>
      </c>
      <c r="AL60" s="399">
        <v>5.2860899601385798</v>
      </c>
      <c r="AM60" s="399"/>
      <c r="AN60" s="399">
        <v>0.65934258815062963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1.2050833442050592</v>
      </c>
      <c r="BH60" s="399">
        <v>0</v>
      </c>
      <c r="BI60" s="399">
        <v>0</v>
      </c>
      <c r="BJ60" s="399">
        <v>0</v>
      </c>
      <c r="BK60" s="399">
        <v>0</v>
      </c>
      <c r="BL60" s="399">
        <v>0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119.23176839161525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266.39200000000005</v>
      </c>
      <c r="CJ60" s="399">
        <v>-27.682799999999929</v>
      </c>
      <c r="CK60" s="399"/>
      <c r="CL60" s="399"/>
      <c r="CM60" s="399"/>
      <c r="CN60" s="399"/>
      <c r="CO60" s="399">
        <v>-42.873600000000025</v>
      </c>
      <c r="CP60" s="399">
        <v>15.220800000000006</v>
      </c>
      <c r="CQ60" s="399">
        <v>31</v>
      </c>
      <c r="CR60" s="399">
        <v>15.210162680731372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1.4361873507342509</v>
      </c>
      <c r="DA60" s="399">
        <v>0</v>
      </c>
      <c r="DB60" s="399">
        <v>0</v>
      </c>
      <c r="DC60" s="399">
        <v>15.2205116443279</v>
      </c>
      <c r="DD60" s="399">
        <v>0</v>
      </c>
      <c r="DE60" s="399">
        <v>0</v>
      </c>
      <c r="DF60" s="399">
        <v>0</v>
      </c>
      <c r="DG60" s="399">
        <v>0.15540540739148345</v>
      </c>
      <c r="DH60" s="399">
        <v>0</v>
      </c>
      <c r="DI60" s="399">
        <v>-1.3908831058993911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-0.16807407717266898</v>
      </c>
      <c r="DP60" s="399">
        <v>-4.2984538650188808E-2</v>
      </c>
      <c r="DQ60" s="399">
        <v>0</v>
      </c>
      <c r="DR60" s="399">
        <v>0</v>
      </c>
      <c r="DS60" s="399"/>
      <c r="DT60" s="399"/>
      <c r="DU60" s="399"/>
      <c r="DV60" s="399">
        <v>97.686037931656728</v>
      </c>
      <c r="DW60" s="399">
        <v>0</v>
      </c>
      <c r="DX60" s="399">
        <v>0</v>
      </c>
      <c r="DY60" s="399">
        <v>-42.87360000000001</v>
      </c>
      <c r="DZ60" s="399">
        <v>15.220799999999997</v>
      </c>
      <c r="EA60" s="399">
        <v>0</v>
      </c>
      <c r="EB60" s="399">
        <v>0</v>
      </c>
      <c r="EC60" s="399">
        <v>-42.861928165997867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216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954</v>
      </c>
      <c r="C61" s="399" t="s">
        <v>2361</v>
      </c>
      <c r="D61" s="399" t="s">
        <v>1824</v>
      </c>
      <c r="E61" s="399" t="s">
        <v>916</v>
      </c>
      <c r="F61" s="399" t="s">
        <v>1237</v>
      </c>
      <c r="G61" s="399" t="s">
        <v>1237</v>
      </c>
      <c r="H61" s="399" t="s">
        <v>1237</v>
      </c>
      <c r="I61" s="399" t="s">
        <v>1237</v>
      </c>
      <c r="J61" s="399" t="s">
        <v>2353</v>
      </c>
      <c r="K61" s="789">
        <v>44470</v>
      </c>
      <c r="L61" s="399">
        <v>0</v>
      </c>
      <c r="M61" s="399">
        <v>0</v>
      </c>
      <c r="N61" s="399">
        <v>0</v>
      </c>
      <c r="O61" s="399">
        <v>0</v>
      </c>
      <c r="P61" s="399">
        <v>0</v>
      </c>
      <c r="Q61" s="399">
        <v>0</v>
      </c>
      <c r="R61" s="399"/>
      <c r="S61" s="399"/>
      <c r="T61" s="399"/>
      <c r="U61" s="399"/>
      <c r="V61" s="399"/>
      <c r="W61" s="399"/>
      <c r="X61" s="399"/>
      <c r="Y61" s="399"/>
      <c r="Z61" s="399"/>
      <c r="AA61" s="399">
        <v>0</v>
      </c>
      <c r="AB61" s="399"/>
      <c r="AC61" s="399"/>
      <c r="AD61" s="399"/>
      <c r="AE61" s="399"/>
      <c r="AF61" s="399"/>
      <c r="AG61" s="399"/>
      <c r="AH61" s="399"/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399"/>
      <c r="AT61" s="399"/>
      <c r="AU61" s="399"/>
      <c r="AV61" s="399"/>
      <c r="AW61" s="399"/>
      <c r="AX61" s="399"/>
      <c r="AY61" s="399"/>
      <c r="AZ61" s="399">
        <v>0</v>
      </c>
      <c r="BA61" s="399"/>
      <c r="BB61" s="399"/>
      <c r="BC61" s="399"/>
      <c r="BD61" s="399"/>
      <c r="BE61" s="399"/>
      <c r="BF61" s="399"/>
      <c r="BG61" s="399"/>
      <c r="BH61" s="399"/>
      <c r="BI61" s="399">
        <v>0</v>
      </c>
      <c r="BJ61" s="399">
        <v>0</v>
      </c>
      <c r="BK61" s="399">
        <v>171.43</v>
      </c>
      <c r="BL61" s="399">
        <v>1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/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/>
      <c r="CJ61" s="399">
        <v>-0.03</v>
      </c>
      <c r="CK61" s="399"/>
      <c r="CL61" s="399"/>
      <c r="CM61" s="399"/>
      <c r="CN61" s="399"/>
      <c r="CO61" s="399">
        <v>0</v>
      </c>
      <c r="CP61" s="399">
        <v>0</v>
      </c>
      <c r="CQ61" s="399">
        <v>31</v>
      </c>
      <c r="CR61" s="399"/>
      <c r="CS61" s="399"/>
      <c r="CT61" s="399"/>
      <c r="CU61" s="399"/>
      <c r="CV61" s="399"/>
      <c r="CW61" s="399"/>
      <c r="CX61" s="399"/>
      <c r="CY61" s="399"/>
      <c r="CZ61" s="399"/>
      <c r="DA61" s="399"/>
      <c r="DB61" s="399"/>
      <c r="DC61" s="399"/>
      <c r="DD61" s="399"/>
      <c r="DE61" s="399"/>
      <c r="DF61" s="399"/>
      <c r="DG61" s="399"/>
      <c r="DH61" s="399"/>
      <c r="DI61" s="399"/>
      <c r="DJ61" s="399"/>
      <c r="DK61" s="399">
        <v>0</v>
      </c>
      <c r="DL61" s="399"/>
      <c r="DM61" s="399"/>
      <c r="DN61" s="399"/>
      <c r="DO61" s="399"/>
      <c r="DP61" s="399"/>
      <c r="DQ61" s="399"/>
      <c r="DR61" s="399"/>
      <c r="DS61" s="399"/>
      <c r="DT61" s="399"/>
      <c r="DU61" s="399"/>
      <c r="DV61" s="399"/>
      <c r="DW61" s="399"/>
      <c r="DX61" s="399"/>
      <c r="DY61" s="399"/>
      <c r="DZ61" s="399"/>
      <c r="EA61" s="399"/>
      <c r="EB61" s="399"/>
      <c r="EC61" s="399"/>
      <c r="ED61" s="399"/>
      <c r="EE61" s="399"/>
      <c r="EF61" s="399"/>
      <c r="EG61" s="399"/>
      <c r="EH61" s="399"/>
      <c r="EI61" s="399"/>
      <c r="EJ61" s="399"/>
      <c r="EK61" s="399"/>
      <c r="EL61" s="399"/>
      <c r="EM61" s="399"/>
      <c r="EN61" s="399"/>
      <c r="EO61" s="399"/>
      <c r="EP61" s="399"/>
      <c r="EQ61" s="399"/>
      <c r="ER61" s="399"/>
      <c r="ES61" s="399"/>
      <c r="ET61" s="399"/>
      <c r="EU61" s="399"/>
      <c r="EV61" s="399">
        <v>216</v>
      </c>
      <c r="EW61" s="399"/>
      <c r="EX61" s="399"/>
      <c r="EY61" s="399"/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954</v>
      </c>
      <c r="C62" s="399" t="s">
        <v>2361</v>
      </c>
      <c r="D62" s="399" t="s">
        <v>1824</v>
      </c>
      <c r="E62" s="399" t="s">
        <v>916</v>
      </c>
      <c r="F62" s="399" t="s">
        <v>1237</v>
      </c>
      <c r="G62" s="399" t="s">
        <v>1237</v>
      </c>
      <c r="H62" s="399" t="s">
        <v>1237</v>
      </c>
      <c r="I62" s="399" t="s">
        <v>2362</v>
      </c>
      <c r="J62" s="399" t="s">
        <v>2353</v>
      </c>
      <c r="K62" s="789">
        <v>44470</v>
      </c>
      <c r="L62" s="399">
        <v>0</v>
      </c>
      <c r="M62" s="399">
        <v>0</v>
      </c>
      <c r="N62" s="399">
        <v>3.5000000000000003E-2</v>
      </c>
      <c r="O62" s="399">
        <v>3.5000000000000003E-2</v>
      </c>
      <c r="P62" s="399">
        <v>3.5000000000000003E-2</v>
      </c>
      <c r="Q62" s="399">
        <v>3.5000000000000003E-2</v>
      </c>
      <c r="R62" s="399"/>
      <c r="S62" s="399">
        <v>782.07</v>
      </c>
      <c r="T62" s="399">
        <v>215.17</v>
      </c>
      <c r="U62" s="399"/>
      <c r="V62" s="399">
        <v>34.903400000000005</v>
      </c>
      <c r="W62" s="399">
        <v>34.903400000000005</v>
      </c>
      <c r="X62" s="399">
        <v>27.996850000000002</v>
      </c>
      <c r="Y62" s="399">
        <v>0</v>
      </c>
      <c r="Z62" s="399">
        <v>2.1380309332965521</v>
      </c>
      <c r="AA62" s="399">
        <v>0</v>
      </c>
      <c r="AB62" s="399">
        <v>0</v>
      </c>
      <c r="AC62" s="399">
        <v>0</v>
      </c>
      <c r="AD62" s="399">
        <v>6.4712955997893351</v>
      </c>
      <c r="AE62" s="399">
        <v>18.316111853596308</v>
      </c>
      <c r="AF62" s="399">
        <v>7.3766678154631364</v>
      </c>
      <c r="AG62" s="399">
        <v>0.15424410522418835</v>
      </c>
      <c r="AH62" s="399">
        <v>0</v>
      </c>
      <c r="AI62" s="399">
        <v>0</v>
      </c>
      <c r="AJ62" s="399">
        <v>0</v>
      </c>
      <c r="AK62" s="399">
        <v>0</v>
      </c>
      <c r="AL62" s="399">
        <v>0.33038062250866124</v>
      </c>
      <c r="AM62" s="399"/>
      <c r="AN62" s="399">
        <v>4.1208911759414352E-2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7.5317709012816203E-2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7.451985524475953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31.996400000000001</v>
      </c>
      <c r="CJ62" s="399">
        <v>-2.9370000000000047</v>
      </c>
      <c r="CK62" s="399"/>
      <c r="CL62" s="399"/>
      <c r="CM62" s="399"/>
      <c r="CN62" s="399"/>
      <c r="CO62" s="399">
        <v>-7.8578500000000044</v>
      </c>
      <c r="CP62" s="399">
        <v>0.95130000000000037</v>
      </c>
      <c r="CQ62" s="399">
        <v>31</v>
      </c>
      <c r="CR62" s="399">
        <v>1.1302229012858369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0.2693494431610155</v>
      </c>
      <c r="DA62" s="399">
        <v>0</v>
      </c>
      <c r="DB62" s="399">
        <v>0</v>
      </c>
      <c r="DC62" s="399">
        <v>0.95128197777049373</v>
      </c>
      <c r="DD62" s="399">
        <v>0</v>
      </c>
      <c r="DE62" s="399">
        <v>0</v>
      </c>
      <c r="DF62" s="399">
        <v>0</v>
      </c>
      <c r="DG62" s="399">
        <v>9.7128379619677158E-3</v>
      </c>
      <c r="DH62" s="399">
        <v>0</v>
      </c>
      <c r="DI62" s="399">
        <v>-8.6930194118711945E-2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-1.0504629823291811E-2</v>
      </c>
      <c r="DP62" s="399">
        <v>-2.6865336656368005E-3</v>
      </c>
      <c r="DQ62" s="399">
        <v>0</v>
      </c>
      <c r="DR62" s="399">
        <v>0</v>
      </c>
      <c r="DS62" s="399"/>
      <c r="DT62" s="399"/>
      <c r="DU62" s="399"/>
      <c r="DV62" s="399">
        <v>18.316111853596308</v>
      </c>
      <c r="DW62" s="399">
        <v>0</v>
      </c>
      <c r="DX62" s="399">
        <v>0</v>
      </c>
      <c r="DY62" s="399">
        <v>-7.8578500000000027</v>
      </c>
      <c r="DZ62" s="399">
        <v>0.95129999999999981</v>
      </c>
      <c r="EA62" s="399">
        <v>0</v>
      </c>
      <c r="EB62" s="399">
        <v>0</v>
      </c>
      <c r="EC62" s="399">
        <v>-8.0366026422166463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216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954</v>
      </c>
      <c r="C63" s="399" t="s">
        <v>2352</v>
      </c>
      <c r="D63" s="399" t="s">
        <v>2363</v>
      </c>
      <c r="E63" s="399" t="s">
        <v>892</v>
      </c>
      <c r="F63" s="399" t="s">
        <v>1237</v>
      </c>
      <c r="G63" s="399" t="s">
        <v>1237</v>
      </c>
      <c r="H63" s="399" t="s">
        <v>1237</v>
      </c>
      <c r="I63" s="399" t="s">
        <v>1237</v>
      </c>
      <c r="J63" s="399" t="s">
        <v>2353</v>
      </c>
      <c r="K63" s="789">
        <v>44470</v>
      </c>
      <c r="L63" s="399">
        <v>0</v>
      </c>
      <c r="M63" s="399">
        <v>0</v>
      </c>
      <c r="N63" s="399">
        <v>391.22899999999998</v>
      </c>
      <c r="O63" s="399">
        <v>391.22899999999998</v>
      </c>
      <c r="P63" s="399">
        <v>391.22899999999998</v>
      </c>
      <c r="Q63" s="399">
        <v>391.22899999999998</v>
      </c>
      <c r="R63" s="399"/>
      <c r="S63" s="399">
        <v>415.98</v>
      </c>
      <c r="T63" s="399">
        <v>215.17</v>
      </c>
      <c r="U63" s="399"/>
      <c r="V63" s="399">
        <v>246924.18335000001</v>
      </c>
      <c r="W63" s="399">
        <v>246924.18335000001</v>
      </c>
      <c r="X63" s="399">
        <v>214604.75565999997</v>
      </c>
      <c r="Y63" s="399">
        <v>0</v>
      </c>
      <c r="Z63" s="399">
        <v>23898.848685790763</v>
      </c>
      <c r="AA63" s="399">
        <v>0</v>
      </c>
      <c r="AB63" s="399">
        <v>0</v>
      </c>
      <c r="AC63" s="399">
        <v>0</v>
      </c>
      <c r="AD63" s="399">
        <v>34942.844032619825</v>
      </c>
      <c r="AE63" s="399">
        <v>98906.795895164396</v>
      </c>
      <c r="AF63" s="399">
        <v>82456.182079309336</v>
      </c>
      <c r="AG63" s="399">
        <v>1724.1362012215423</v>
      </c>
      <c r="AH63" s="399">
        <v>0</v>
      </c>
      <c r="AI63" s="399">
        <v>0</v>
      </c>
      <c r="AJ63" s="399">
        <v>0</v>
      </c>
      <c r="AK63" s="399">
        <v>0</v>
      </c>
      <c r="AL63" s="399">
        <v>3692.9851589554573</v>
      </c>
      <c r="AM63" s="399"/>
      <c r="AN63" s="399">
        <v>460.63203824925478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841.89919941071616</v>
      </c>
      <c r="BH63" s="399">
        <v>0</v>
      </c>
      <c r="BI63" s="399">
        <v>0</v>
      </c>
      <c r="BJ63" s="399">
        <v>0</v>
      </c>
      <c r="BK63" s="399">
        <v>52083.06</v>
      </c>
      <c r="BL63" s="399">
        <v>1640</v>
      </c>
      <c r="BM63" s="399"/>
      <c r="BN63" s="399"/>
      <c r="BO63" s="399"/>
      <c r="BP63" s="399"/>
      <c r="BQ63" s="399"/>
      <c r="BR63" s="399">
        <v>25750.692779999998</v>
      </c>
      <c r="BS63" s="399"/>
      <c r="BT63" s="399"/>
      <c r="BU63" s="399"/>
      <c r="BV63" s="399">
        <v>83298.081278720056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188854.54560000001</v>
      </c>
      <c r="CJ63" s="399">
        <v>-28437.983290000004</v>
      </c>
      <c r="CK63" s="399"/>
      <c r="CL63" s="399"/>
      <c r="CM63" s="399"/>
      <c r="CN63" s="399"/>
      <c r="CO63" s="399">
        <v>-42953.031910000005</v>
      </c>
      <c r="CP63" s="399">
        <v>10633.604220000003</v>
      </c>
      <c r="CQ63" s="399">
        <v>31</v>
      </c>
      <c r="CR63" s="399">
        <v>11077.216332084412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1454.3974135496392</v>
      </c>
      <c r="DA63" s="399">
        <v>0</v>
      </c>
      <c r="DB63" s="399">
        <v>0</v>
      </c>
      <c r="DC63" s="399">
        <v>10633.402768033513</v>
      </c>
      <c r="DD63" s="399">
        <v>0</v>
      </c>
      <c r="DE63" s="399">
        <v>0</v>
      </c>
      <c r="DF63" s="399">
        <v>0</v>
      </c>
      <c r="DG63" s="399">
        <v>108.56982522921896</v>
      </c>
      <c r="DH63" s="399">
        <v>0</v>
      </c>
      <c r="DI63" s="399">
        <v>-971.70322613912867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-117.42045203247471</v>
      </c>
      <c r="DP63" s="399">
        <v>-30.02999655638348</v>
      </c>
      <c r="DQ63" s="399">
        <v>0</v>
      </c>
      <c r="DR63" s="399">
        <v>0</v>
      </c>
      <c r="DS63" s="399"/>
      <c r="DT63" s="399"/>
      <c r="DU63" s="399"/>
      <c r="DV63" s="399">
        <v>98906.795895164396</v>
      </c>
      <c r="DW63" s="399">
        <v>0</v>
      </c>
      <c r="DX63" s="399">
        <v>0</v>
      </c>
      <c r="DY63" s="399">
        <v>-42953.03191000002</v>
      </c>
      <c r="DZ63" s="399">
        <v>10633.604219999994</v>
      </c>
      <c r="EA63" s="399">
        <v>0</v>
      </c>
      <c r="EB63" s="399">
        <v>0</v>
      </c>
      <c r="EC63" s="399">
        <v>-43397.562953197892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216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2354</v>
      </c>
      <c r="C64" s="399" t="s">
        <v>2352</v>
      </c>
      <c r="D64" s="399" t="s">
        <v>2363</v>
      </c>
      <c r="E64" s="399" t="s">
        <v>892</v>
      </c>
      <c r="F64" s="399" t="s">
        <v>1237</v>
      </c>
      <c r="G64" s="399" t="s">
        <v>1237</v>
      </c>
      <c r="H64" s="399" t="s">
        <v>1237</v>
      </c>
      <c r="I64" s="399" t="s">
        <v>1237</v>
      </c>
      <c r="J64" s="399" t="s">
        <v>2353</v>
      </c>
      <c r="K64" s="789">
        <v>44470</v>
      </c>
      <c r="L64" s="399">
        <v>0</v>
      </c>
      <c r="M64" s="399">
        <v>0</v>
      </c>
      <c r="N64" s="399">
        <v>-0.153</v>
      </c>
      <c r="O64" s="399">
        <v>-0.153</v>
      </c>
      <c r="P64" s="399">
        <v>-0.153</v>
      </c>
      <c r="Q64" s="399">
        <v>-0.153</v>
      </c>
      <c r="R64" s="399"/>
      <c r="S64" s="399">
        <v>415.98</v>
      </c>
      <c r="T64" s="399">
        <v>215.17</v>
      </c>
      <c r="U64" s="399"/>
      <c r="V64" s="399">
        <v>-96.565949999999987</v>
      </c>
      <c r="W64" s="399">
        <v>-96.565949999999987</v>
      </c>
      <c r="X64" s="399">
        <v>-83.92662</v>
      </c>
      <c r="Y64" s="399">
        <v>0</v>
      </c>
      <c r="Z64" s="399">
        <v>-9.3462495084106418</v>
      </c>
      <c r="AA64" s="399">
        <v>0</v>
      </c>
      <c r="AB64" s="399">
        <v>0</v>
      </c>
      <c r="AC64" s="399">
        <v>0</v>
      </c>
      <c r="AD64" s="399">
        <v>-13.665283342980285</v>
      </c>
      <c r="AE64" s="399">
        <v>-38.680005244908102</v>
      </c>
      <c r="AF64" s="399">
        <v>-32.246576450453134</v>
      </c>
      <c r="AG64" s="399">
        <v>-0.6742670885514519</v>
      </c>
      <c r="AH64" s="399">
        <v>0</v>
      </c>
      <c r="AI64" s="399">
        <v>0</v>
      </c>
      <c r="AJ64" s="399">
        <v>0</v>
      </c>
      <c r="AK64" s="399">
        <v>0</v>
      </c>
      <c r="AL64" s="399">
        <v>-1.4442352926807189</v>
      </c>
      <c r="AM64" s="399"/>
      <c r="AN64" s="399">
        <v>-0.18014181426258272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-0.32924598511316794</v>
      </c>
      <c r="BH64" s="399">
        <v>0</v>
      </c>
      <c r="BI64" s="399">
        <v>0</v>
      </c>
      <c r="BJ64" s="399">
        <v>0</v>
      </c>
      <c r="BK64" s="399">
        <v>-16.21</v>
      </c>
      <c r="BL64" s="399">
        <v>0</v>
      </c>
      <c r="BM64" s="399"/>
      <c r="BN64" s="399"/>
      <c r="BO64" s="399"/>
      <c r="BP64" s="399"/>
      <c r="BQ64" s="399"/>
      <c r="BR64" s="399">
        <v>-10.070459999999999</v>
      </c>
      <c r="BS64" s="399"/>
      <c r="BT64" s="399"/>
      <c r="BU64" s="399"/>
      <c r="BV64" s="399">
        <v>-32.575822435566302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-72.408000000000001</v>
      </c>
      <c r="CJ64" s="399">
        <v>12.539729999999992</v>
      </c>
      <c r="CK64" s="399"/>
      <c r="CL64" s="399"/>
      <c r="CM64" s="399"/>
      <c r="CN64" s="399"/>
      <c r="CO64" s="399">
        <v>16.797870000000003</v>
      </c>
      <c r="CP64" s="399">
        <v>-4.1585400000000012</v>
      </c>
      <c r="CQ64" s="399">
        <v>31</v>
      </c>
      <c r="CR64" s="399">
        <v>-4.332025741468307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-0.56877891023695604</v>
      </c>
      <c r="DA64" s="399">
        <v>0</v>
      </c>
      <c r="DB64" s="399">
        <v>0</v>
      </c>
      <c r="DC64" s="399">
        <v>-4.158461217111018</v>
      </c>
      <c r="DD64" s="399">
        <v>0</v>
      </c>
      <c r="DE64" s="399">
        <v>0</v>
      </c>
      <c r="DF64" s="399">
        <v>0</v>
      </c>
      <c r="DG64" s="399">
        <v>-4.2458977376601703E-2</v>
      </c>
      <c r="DH64" s="399">
        <v>0</v>
      </c>
      <c r="DI64" s="399">
        <v>0.3800091342903702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4.5920238941818292E-2</v>
      </c>
      <c r="DP64" s="399">
        <v>1.1743990024069451E-2</v>
      </c>
      <c r="DQ64" s="399">
        <v>0</v>
      </c>
      <c r="DR64" s="399">
        <v>0</v>
      </c>
      <c r="DS64" s="399"/>
      <c r="DT64" s="399"/>
      <c r="DU64" s="399"/>
      <c r="DV64" s="399">
        <v>-38.680005244908102</v>
      </c>
      <c r="DW64" s="399">
        <v>0</v>
      </c>
      <c r="DX64" s="399">
        <v>0</v>
      </c>
      <c r="DY64" s="399">
        <v>16.797869999999996</v>
      </c>
      <c r="DZ64" s="399">
        <v>-4.1585400000000021</v>
      </c>
      <c r="EA64" s="399">
        <v>0</v>
      </c>
      <c r="EB64" s="399">
        <v>0</v>
      </c>
      <c r="EC64" s="399">
        <v>16.971715112732635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216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2355</v>
      </c>
      <c r="C65" s="399" t="s">
        <v>2352</v>
      </c>
      <c r="D65" s="399" t="s">
        <v>2363</v>
      </c>
      <c r="E65" s="399" t="s">
        <v>892</v>
      </c>
      <c r="F65" s="399" t="s">
        <v>1237</v>
      </c>
      <c r="G65" s="399" t="s">
        <v>1237</v>
      </c>
      <c r="H65" s="399" t="s">
        <v>1237</v>
      </c>
      <c r="I65" s="399" t="s">
        <v>1237</v>
      </c>
      <c r="J65" s="399" t="s">
        <v>2353</v>
      </c>
      <c r="K65" s="789">
        <v>44470</v>
      </c>
      <c r="L65" s="399">
        <v>0</v>
      </c>
      <c r="M65" s="399">
        <v>0</v>
      </c>
      <c r="N65" s="399">
        <v>2.456</v>
      </c>
      <c r="O65" s="399">
        <v>2.456</v>
      </c>
      <c r="P65" s="399">
        <v>2.456</v>
      </c>
      <c r="Q65" s="399">
        <v>2.456</v>
      </c>
      <c r="R65" s="399"/>
      <c r="S65" s="399">
        <v>415.98</v>
      </c>
      <c r="T65" s="399">
        <v>215.17</v>
      </c>
      <c r="U65" s="399"/>
      <c r="V65" s="399">
        <v>1550.1043999999999</v>
      </c>
      <c r="W65" s="399">
        <v>1550.1043999999999</v>
      </c>
      <c r="X65" s="399">
        <v>1347.2142399999998</v>
      </c>
      <c r="Y65" s="399">
        <v>0</v>
      </c>
      <c r="Z65" s="399">
        <v>150.02868491932378</v>
      </c>
      <c r="AA65" s="399">
        <v>0</v>
      </c>
      <c r="AB65" s="399">
        <v>0</v>
      </c>
      <c r="AC65" s="399">
        <v>0</v>
      </c>
      <c r="AD65" s="399">
        <v>219.35905810692535</v>
      </c>
      <c r="AE65" s="399">
        <v>620.90256785290387</v>
      </c>
      <c r="AF65" s="399">
        <v>517.63131870792745</v>
      </c>
      <c r="AG65" s="399">
        <v>10.823529212303045</v>
      </c>
      <c r="AH65" s="399">
        <v>0</v>
      </c>
      <c r="AI65" s="399">
        <v>0</v>
      </c>
      <c r="AJ65" s="399">
        <v>0</v>
      </c>
      <c r="AK65" s="399">
        <v>0</v>
      </c>
      <c r="AL65" s="399">
        <v>23.183280253750628</v>
      </c>
      <c r="AM65" s="399"/>
      <c r="AN65" s="399">
        <v>2.891688208032047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5.2851512381564731</v>
      </c>
      <c r="BH65" s="399">
        <v>0</v>
      </c>
      <c r="BI65" s="399">
        <v>0</v>
      </c>
      <c r="BJ65" s="399">
        <v>0</v>
      </c>
      <c r="BK65" s="399">
        <v>1789.9</v>
      </c>
      <c r="BL65" s="399">
        <v>18</v>
      </c>
      <c r="BM65" s="399"/>
      <c r="BN65" s="399"/>
      <c r="BO65" s="399"/>
      <c r="BP65" s="399"/>
      <c r="BQ65" s="399"/>
      <c r="BR65" s="399">
        <v>161.65391999999997</v>
      </c>
      <c r="BS65" s="399"/>
      <c r="BT65" s="399"/>
      <c r="BU65" s="399"/>
      <c r="BV65" s="399">
        <v>522.91646994608391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1187.4911999999999</v>
      </c>
      <c r="CJ65" s="399">
        <v>-176.62576000000013</v>
      </c>
      <c r="CK65" s="399"/>
      <c r="CL65" s="399"/>
      <c r="CM65" s="399"/>
      <c r="CN65" s="399"/>
      <c r="CO65" s="399">
        <v>-269.64424000000002</v>
      </c>
      <c r="CP65" s="399">
        <v>66.754080000000016</v>
      </c>
      <c r="CQ65" s="399">
        <v>31</v>
      </c>
      <c r="CR65" s="399">
        <v>69.538923013374074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9.1302026375291803</v>
      </c>
      <c r="DA65" s="399">
        <v>0</v>
      </c>
      <c r="DB65" s="399">
        <v>0</v>
      </c>
      <c r="DC65" s="399">
        <v>66.752815354409563</v>
      </c>
      <c r="DD65" s="399">
        <v>0</v>
      </c>
      <c r="DE65" s="399">
        <v>0</v>
      </c>
      <c r="DF65" s="399">
        <v>0</v>
      </c>
      <c r="DG65" s="399">
        <v>0.681563715274077</v>
      </c>
      <c r="DH65" s="399">
        <v>0</v>
      </c>
      <c r="DI65" s="399">
        <v>-6.1000159073016391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-0.73712488131441845</v>
      </c>
      <c r="DP65" s="399">
        <v>-0.18851790522297129</v>
      </c>
      <c r="DQ65" s="399">
        <v>0</v>
      </c>
      <c r="DR65" s="399">
        <v>0</v>
      </c>
      <c r="DS65" s="399"/>
      <c r="DT65" s="399"/>
      <c r="DU65" s="399"/>
      <c r="DV65" s="399">
        <v>620.90256785290387</v>
      </c>
      <c r="DW65" s="399">
        <v>0</v>
      </c>
      <c r="DX65" s="399">
        <v>0</v>
      </c>
      <c r="DY65" s="399">
        <v>-269.64424000000008</v>
      </c>
      <c r="DZ65" s="399">
        <v>66.754080000000044</v>
      </c>
      <c r="EA65" s="399">
        <v>0</v>
      </c>
      <c r="EB65" s="399">
        <v>0</v>
      </c>
      <c r="EC65" s="399">
        <v>-272.43485174425717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216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954</v>
      </c>
      <c r="C66" s="399" t="s">
        <v>2352</v>
      </c>
      <c r="D66" s="399" t="s">
        <v>1824</v>
      </c>
      <c r="E66" s="399" t="s">
        <v>2364</v>
      </c>
      <c r="F66" s="399" t="s">
        <v>1237</v>
      </c>
      <c r="G66" s="399" t="s">
        <v>1237</v>
      </c>
      <c r="H66" s="399" t="s">
        <v>1237</v>
      </c>
      <c r="I66" s="399" t="s">
        <v>1237</v>
      </c>
      <c r="J66" s="399" t="s">
        <v>2353</v>
      </c>
      <c r="K66" s="789">
        <v>44470</v>
      </c>
      <c r="L66" s="399">
        <v>0</v>
      </c>
      <c r="M66" s="399">
        <v>0</v>
      </c>
      <c r="N66" s="399">
        <v>25.126999999999999</v>
      </c>
      <c r="O66" s="399">
        <v>25.126999999999999</v>
      </c>
      <c r="P66" s="399">
        <v>25.126999999999999</v>
      </c>
      <c r="Q66" s="399">
        <v>25.126999999999999</v>
      </c>
      <c r="R66" s="399"/>
      <c r="S66" s="399">
        <v>415.98</v>
      </c>
      <c r="T66" s="399">
        <v>215.17</v>
      </c>
      <c r="U66" s="399"/>
      <c r="V66" s="399">
        <v>15858.906050000001</v>
      </c>
      <c r="W66" s="399">
        <v>15858.906050000001</v>
      </c>
      <c r="X66" s="399">
        <v>13783.164580000001</v>
      </c>
      <c r="Y66" s="399">
        <v>0</v>
      </c>
      <c r="Z66" s="399">
        <v>1534.9229503126417</v>
      </c>
      <c r="AA66" s="399">
        <v>0</v>
      </c>
      <c r="AB66" s="399">
        <v>0</v>
      </c>
      <c r="AC66" s="399">
        <v>0</v>
      </c>
      <c r="AD66" s="399">
        <v>2244.2325134579451</v>
      </c>
      <c r="AE66" s="399">
        <v>6352.3692273778161</v>
      </c>
      <c r="AF66" s="399">
        <v>5295.815205689777</v>
      </c>
      <c r="AG66" s="399">
        <v>110.73404662766229</v>
      </c>
      <c r="AH66" s="399">
        <v>0</v>
      </c>
      <c r="AI66" s="399">
        <v>0</v>
      </c>
      <c r="AJ66" s="399">
        <v>0</v>
      </c>
      <c r="AK66" s="399">
        <v>0</v>
      </c>
      <c r="AL66" s="399">
        <v>237.18496862214656</v>
      </c>
      <c r="AM66" s="399"/>
      <c r="AN66" s="399">
        <v>29.58446645082298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54.071659267572358</v>
      </c>
      <c r="BH66" s="399">
        <v>0</v>
      </c>
      <c r="BI66" s="399">
        <v>0</v>
      </c>
      <c r="BJ66" s="399">
        <v>0</v>
      </c>
      <c r="BK66" s="399">
        <v>5252.62</v>
      </c>
      <c r="BL66" s="399">
        <v>48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5349.8868649573496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13784.8102</v>
      </c>
      <c r="CJ66" s="399">
        <v>-2074.1258500000022</v>
      </c>
      <c r="CK66" s="399"/>
      <c r="CL66" s="399"/>
      <c r="CM66" s="399"/>
      <c r="CN66" s="399"/>
      <c r="CO66" s="399">
        <v>-2758.6933300000005</v>
      </c>
      <c r="CP66" s="399">
        <v>682.95186000000012</v>
      </c>
      <c r="CQ66" s="399">
        <v>31</v>
      </c>
      <c r="CR66" s="399">
        <v>711.44320788153345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93.409854101464134</v>
      </c>
      <c r="DA66" s="399">
        <v>0</v>
      </c>
      <c r="DB66" s="399">
        <v>0</v>
      </c>
      <c r="DC66" s="399">
        <v>682.93892158397739</v>
      </c>
      <c r="DD66" s="399">
        <v>0</v>
      </c>
      <c r="DE66" s="399">
        <v>0</v>
      </c>
      <c r="DF66" s="399">
        <v>0</v>
      </c>
      <c r="DG66" s="399">
        <v>6.9729851277246482</v>
      </c>
      <c r="DH66" s="399">
        <v>0</v>
      </c>
      <c r="DI66" s="399">
        <v>-62.408428217739129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-7.5414238162815082</v>
      </c>
      <c r="DP66" s="399">
        <v>-1.9287008976130267</v>
      </c>
      <c r="DQ66" s="399">
        <v>0</v>
      </c>
      <c r="DR66" s="399">
        <v>0</v>
      </c>
      <c r="DS66" s="399"/>
      <c r="DT66" s="399"/>
      <c r="DU66" s="399"/>
      <c r="DV66" s="399">
        <v>6352.3692273778161</v>
      </c>
      <c r="DW66" s="399">
        <v>0</v>
      </c>
      <c r="DX66" s="399">
        <v>0</v>
      </c>
      <c r="DY66" s="399">
        <v>-2758.693330000001</v>
      </c>
      <c r="DZ66" s="399">
        <v>682.95186000000012</v>
      </c>
      <c r="EA66" s="399">
        <v>0</v>
      </c>
      <c r="EB66" s="399">
        <v>0</v>
      </c>
      <c r="EC66" s="399">
        <v>-2787.2436969779928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216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954</v>
      </c>
      <c r="C67" s="399" t="s">
        <v>2352</v>
      </c>
      <c r="D67" s="399" t="s">
        <v>2365</v>
      </c>
      <c r="E67" s="399" t="s">
        <v>2366</v>
      </c>
      <c r="F67" s="399" t="s">
        <v>2367</v>
      </c>
      <c r="G67" s="399" t="s">
        <v>1237</v>
      </c>
      <c r="H67" s="399" t="s">
        <v>1237</v>
      </c>
      <c r="I67" s="399" t="s">
        <v>1237</v>
      </c>
      <c r="J67" s="399" t="s">
        <v>2353</v>
      </c>
      <c r="K67" s="789">
        <v>44470</v>
      </c>
      <c r="L67" s="399">
        <v>0</v>
      </c>
      <c r="M67" s="399">
        <v>0</v>
      </c>
      <c r="N67" s="399">
        <v>99.171999999999997</v>
      </c>
      <c r="O67" s="399">
        <v>99.171999999999997</v>
      </c>
      <c r="P67" s="399">
        <v>99.171999999999997</v>
      </c>
      <c r="Q67" s="399">
        <v>99.171999999999997</v>
      </c>
      <c r="R67" s="399"/>
      <c r="S67" s="399">
        <v>228.79</v>
      </c>
      <c r="T67" s="399">
        <v>118.34</v>
      </c>
      <c r="U67" s="399"/>
      <c r="V67" s="399">
        <v>34425.576359999999</v>
      </c>
      <c r="W67" s="399">
        <v>34425.576359999999</v>
      </c>
      <c r="X67" s="399">
        <v>29919.200679999998</v>
      </c>
      <c r="Y67" s="399">
        <v>0</v>
      </c>
      <c r="Z67" s="399">
        <v>3331.9440584081976</v>
      </c>
      <c r="AA67" s="399">
        <v>0</v>
      </c>
      <c r="AB67" s="399">
        <v>0</v>
      </c>
      <c r="AC67" s="399">
        <v>0</v>
      </c>
      <c r="AD67" s="399">
        <v>4871.6824433302172</v>
      </c>
      <c r="AE67" s="399">
        <v>13789.447150858943</v>
      </c>
      <c r="AF67" s="399">
        <v>11495.925580780246</v>
      </c>
      <c r="AG67" s="399">
        <v>240.37665776603657</v>
      </c>
      <c r="AH67" s="399">
        <v>0</v>
      </c>
      <c r="AI67" s="399">
        <v>0</v>
      </c>
      <c r="AJ67" s="399">
        <v>0</v>
      </c>
      <c r="AK67" s="399">
        <v>0</v>
      </c>
      <c r="AL67" s="399">
        <v>514.87082578531249</v>
      </c>
      <c r="AM67" s="399"/>
      <c r="AN67" s="399">
        <v>64.220674524358884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117.37640888629809</v>
      </c>
      <c r="BH67" s="399">
        <v>0</v>
      </c>
      <c r="BI67" s="399">
        <v>0</v>
      </c>
      <c r="BJ67" s="399">
        <v>0</v>
      </c>
      <c r="BK67" s="399">
        <v>15152.42</v>
      </c>
      <c r="BL67" s="399">
        <v>88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11613.301989666543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29918.597300000001</v>
      </c>
      <c r="CJ67" s="399">
        <v>-4507.0090599999967</v>
      </c>
      <c r="CK67" s="399"/>
      <c r="CL67" s="399"/>
      <c r="CM67" s="399"/>
      <c r="CN67" s="399"/>
      <c r="CO67" s="399">
        <v>-5988.9970799999983</v>
      </c>
      <c r="CP67" s="399">
        <v>1482.6213999999989</v>
      </c>
      <c r="CQ67" s="399">
        <v>31</v>
      </c>
      <c r="CR67" s="399">
        <v>1544.3700082228934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202.77005325039136</v>
      </c>
      <c r="DA67" s="399">
        <v>0</v>
      </c>
      <c r="DB67" s="399">
        <v>0</v>
      </c>
      <c r="DC67" s="399">
        <v>1482.4941418486505</v>
      </c>
      <c r="DD67" s="399">
        <v>0</v>
      </c>
      <c r="DE67" s="399">
        <v>0</v>
      </c>
      <c r="DF67" s="399">
        <v>0</v>
      </c>
      <c r="DG67" s="399">
        <v>15.13665318572501</v>
      </c>
      <c r="DH67" s="399">
        <v>0</v>
      </c>
      <c r="DI67" s="399">
        <v>-135.47350474649465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-16.37059519598705</v>
      </c>
      <c r="DP67" s="399">
        <v>-4.1867401193914375</v>
      </c>
      <c r="DQ67" s="399">
        <v>0</v>
      </c>
      <c r="DR67" s="399">
        <v>0</v>
      </c>
      <c r="DS67" s="399"/>
      <c r="DT67" s="399"/>
      <c r="DU67" s="399"/>
      <c r="DV67" s="399">
        <v>13789.447150858943</v>
      </c>
      <c r="DW67" s="399">
        <v>0</v>
      </c>
      <c r="DX67" s="399">
        <v>0</v>
      </c>
      <c r="DY67" s="399">
        <v>-5988.9970799999974</v>
      </c>
      <c r="DZ67" s="399">
        <v>1482.6213999999982</v>
      </c>
      <c r="EA67" s="399">
        <v>0</v>
      </c>
      <c r="EB67" s="399">
        <v>0</v>
      </c>
      <c r="EC67" s="399">
        <v>-6050.4275303134627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216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954</v>
      </c>
      <c r="C68" s="399" t="s">
        <v>2352</v>
      </c>
      <c r="D68" s="399" t="s">
        <v>1824</v>
      </c>
      <c r="E68" s="399" t="s">
        <v>919</v>
      </c>
      <c r="F68" s="399" t="s">
        <v>2368</v>
      </c>
      <c r="G68" s="399" t="s">
        <v>1237</v>
      </c>
      <c r="H68" s="399" t="s">
        <v>1237</v>
      </c>
      <c r="I68" s="399" t="s">
        <v>1237</v>
      </c>
      <c r="J68" s="399" t="s">
        <v>2353</v>
      </c>
      <c r="K68" s="789">
        <v>44470</v>
      </c>
      <c r="L68" s="399">
        <v>0</v>
      </c>
      <c r="M68" s="399">
        <v>0</v>
      </c>
      <c r="N68" s="399">
        <v>22.408999999999999</v>
      </c>
      <c r="O68" s="399">
        <v>21.064459999999997</v>
      </c>
      <c r="P68" s="399">
        <v>22.408999999999999</v>
      </c>
      <c r="Q68" s="399">
        <v>21.064459999999997</v>
      </c>
      <c r="R68" s="399"/>
      <c r="S68" s="399">
        <v>415.98</v>
      </c>
      <c r="T68" s="399">
        <v>215.17</v>
      </c>
      <c r="U68" s="399"/>
      <c r="V68" s="399">
        <v>14143.440350000001</v>
      </c>
      <c r="W68" s="399">
        <v>14143.440350000001</v>
      </c>
      <c r="X68" s="399">
        <v>12292.23286</v>
      </c>
      <c r="Y68" s="399">
        <v>0</v>
      </c>
      <c r="Z68" s="399">
        <v>1368.889576692641</v>
      </c>
      <c r="AA68" s="399">
        <v>0</v>
      </c>
      <c r="AB68" s="399">
        <v>0</v>
      </c>
      <c r="AC68" s="399">
        <v>0</v>
      </c>
      <c r="AD68" s="399">
        <v>2001.4727740708836</v>
      </c>
      <c r="AE68" s="399">
        <v>5665.2303106741547</v>
      </c>
      <c r="AF68" s="399">
        <v>4722.964259334668</v>
      </c>
      <c r="AG68" s="399">
        <v>98.755890113395338</v>
      </c>
      <c r="AH68" s="399">
        <v>0</v>
      </c>
      <c r="AI68" s="399">
        <v>0</v>
      </c>
      <c r="AJ68" s="399">
        <v>0</v>
      </c>
      <c r="AK68" s="399">
        <v>0</v>
      </c>
      <c r="AL68" s="399">
        <v>211.52855342275967</v>
      </c>
      <c r="AM68" s="399"/>
      <c r="AN68" s="399">
        <v>26.384300103334748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48.222701179091374</v>
      </c>
      <c r="BH68" s="399">
        <v>0</v>
      </c>
      <c r="BI68" s="399">
        <v>0</v>
      </c>
      <c r="BJ68" s="399">
        <v>0</v>
      </c>
      <c r="BK68" s="399">
        <v>5494.28</v>
      </c>
      <c r="BL68" s="399">
        <v>4</v>
      </c>
      <c r="BM68" s="399"/>
      <c r="BN68" s="399"/>
      <c r="BO68" s="399"/>
      <c r="BP68" s="399"/>
      <c r="BQ68" s="399">
        <v>737.53397160000111</v>
      </c>
      <c r="BR68" s="399"/>
      <c r="BS68" s="399"/>
      <c r="BT68" s="399"/>
      <c r="BU68" s="399"/>
      <c r="BV68" s="399">
        <v>4771.186960513759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11552.252399999999</v>
      </c>
      <c r="CJ68" s="399">
        <v>-1742.6115289999998</v>
      </c>
      <c r="CK68" s="399"/>
      <c r="CL68" s="399"/>
      <c r="CM68" s="399"/>
      <c r="CN68" s="399"/>
      <c r="CO68" s="399">
        <v>-2460.2841100000005</v>
      </c>
      <c r="CP68" s="399">
        <v>609.07662000000016</v>
      </c>
      <c r="CQ68" s="399">
        <v>31</v>
      </c>
      <c r="CR68" s="399">
        <v>634.48604470956525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83.305664049019015</v>
      </c>
      <c r="DA68" s="399">
        <v>0</v>
      </c>
      <c r="DB68" s="399">
        <v>0</v>
      </c>
      <c r="DC68" s="399">
        <v>609.06508113882956</v>
      </c>
      <c r="DD68" s="399">
        <v>0</v>
      </c>
      <c r="DE68" s="399">
        <v>0</v>
      </c>
      <c r="DF68" s="399">
        <v>0</v>
      </c>
      <c r="DG68" s="399">
        <v>6.2187138825638399</v>
      </c>
      <c r="DH68" s="399">
        <v>0</v>
      </c>
      <c r="DI68" s="399">
        <v>-55.657677714463262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-6.7256642774327418</v>
      </c>
      <c r="DP68" s="399">
        <v>-1.7200723689501487</v>
      </c>
      <c r="DQ68" s="399">
        <v>0</v>
      </c>
      <c r="DR68" s="399">
        <v>0</v>
      </c>
      <c r="DS68" s="399"/>
      <c r="DT68" s="399"/>
      <c r="DU68" s="399"/>
      <c r="DV68" s="399">
        <v>5665.2303106741547</v>
      </c>
      <c r="DW68" s="399">
        <v>0</v>
      </c>
      <c r="DX68" s="399">
        <v>0</v>
      </c>
      <c r="DY68" s="399">
        <v>-2460.2841100000014</v>
      </c>
      <c r="DZ68" s="399">
        <v>609.07661999999982</v>
      </c>
      <c r="EA68" s="399">
        <v>0</v>
      </c>
      <c r="EB68" s="399">
        <v>0</v>
      </c>
      <c r="EC68" s="399">
        <v>-2485.7461696812134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216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954</v>
      </c>
      <c r="C69" s="399" t="s">
        <v>2352</v>
      </c>
      <c r="D69" s="399" t="s">
        <v>1824</v>
      </c>
      <c r="E69" s="399" t="s">
        <v>2369</v>
      </c>
      <c r="F69" s="399" t="s">
        <v>1237</v>
      </c>
      <c r="G69" s="399" t="s">
        <v>1237</v>
      </c>
      <c r="H69" s="399" t="s">
        <v>1237</v>
      </c>
      <c r="I69" s="399" t="s">
        <v>1237</v>
      </c>
      <c r="J69" s="399" t="s">
        <v>2353</v>
      </c>
      <c r="K69" s="789">
        <v>44470</v>
      </c>
      <c r="L69" s="399">
        <v>0</v>
      </c>
      <c r="M69" s="399">
        <v>0</v>
      </c>
      <c r="N69" s="399">
        <v>1.5369999999999999</v>
      </c>
      <c r="O69" s="399">
        <v>1.5369999999999999</v>
      </c>
      <c r="P69" s="399">
        <v>1.5369999999999999</v>
      </c>
      <c r="Q69" s="399">
        <v>1.5369999999999999</v>
      </c>
      <c r="R69" s="399"/>
      <c r="S69" s="399">
        <v>415.98</v>
      </c>
      <c r="T69" s="399">
        <v>215.17</v>
      </c>
      <c r="U69" s="399"/>
      <c r="V69" s="399">
        <v>970.07754999999997</v>
      </c>
      <c r="W69" s="399">
        <v>970.07754999999997</v>
      </c>
      <c r="X69" s="399">
        <v>843.10597999999993</v>
      </c>
      <c r="Y69" s="399">
        <v>0</v>
      </c>
      <c r="Z69" s="399">
        <v>93.890101270765726</v>
      </c>
      <c r="AA69" s="399">
        <v>0</v>
      </c>
      <c r="AB69" s="399">
        <v>0</v>
      </c>
      <c r="AC69" s="399">
        <v>0</v>
      </c>
      <c r="AD69" s="399">
        <v>137.27804247163854</v>
      </c>
      <c r="AE69" s="399">
        <v>388.56972589165849</v>
      </c>
      <c r="AF69" s="399">
        <v>323.94109806762395</v>
      </c>
      <c r="AG69" s="399">
        <v>6.7735197065593571</v>
      </c>
      <c r="AH69" s="399">
        <v>0</v>
      </c>
      <c r="AI69" s="399">
        <v>0</v>
      </c>
      <c r="AJ69" s="399">
        <v>0</v>
      </c>
      <c r="AK69" s="399">
        <v>0</v>
      </c>
      <c r="AL69" s="399">
        <v>14.508429051308921</v>
      </c>
      <c r="AM69" s="399"/>
      <c r="AN69" s="399">
        <v>1.8096599249777101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3.3075233929342427</v>
      </c>
      <c r="BH69" s="399">
        <v>0</v>
      </c>
      <c r="BI69" s="399">
        <v>0</v>
      </c>
      <c r="BJ69" s="399">
        <v>0</v>
      </c>
      <c r="BK69" s="399">
        <v>371.27</v>
      </c>
      <c r="BL69" s="399">
        <v>3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327.24862146055818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844.75160000000005</v>
      </c>
      <c r="CJ69" s="399">
        <v>-125.35594999999989</v>
      </c>
      <c r="CK69" s="399"/>
      <c r="CL69" s="399"/>
      <c r="CM69" s="399"/>
      <c r="CN69" s="399"/>
      <c r="CO69" s="399">
        <v>-168.74723000000003</v>
      </c>
      <c r="CP69" s="399">
        <v>41.775660000000009</v>
      </c>
      <c r="CQ69" s="399">
        <v>31</v>
      </c>
      <c r="CR69" s="399">
        <v>43.518454670828874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5.7138116668901944</v>
      </c>
      <c r="DA69" s="399">
        <v>0</v>
      </c>
      <c r="DB69" s="399">
        <v>0</v>
      </c>
      <c r="DC69" s="399">
        <v>41.774868566664281</v>
      </c>
      <c r="DD69" s="399">
        <v>0</v>
      </c>
      <c r="DE69" s="399">
        <v>0</v>
      </c>
      <c r="DF69" s="399">
        <v>0</v>
      </c>
      <c r="DG69" s="399">
        <v>0.42653234135841034</v>
      </c>
      <c r="DH69" s="399">
        <v>0</v>
      </c>
      <c r="DI69" s="399">
        <v>-3.8174773817274428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-0.46130331538284253</v>
      </c>
      <c r="DP69" s="399">
        <v>-0.11797720697382186</v>
      </c>
      <c r="DQ69" s="399">
        <v>0</v>
      </c>
      <c r="DR69" s="399">
        <v>0</v>
      </c>
      <c r="DS69" s="399"/>
      <c r="DT69" s="399"/>
      <c r="DU69" s="399"/>
      <c r="DV69" s="399">
        <v>388.56972589165849</v>
      </c>
      <c r="DW69" s="399">
        <v>0</v>
      </c>
      <c r="DX69" s="399">
        <v>0</v>
      </c>
      <c r="DY69" s="399">
        <v>-168.74723000000006</v>
      </c>
      <c r="DZ69" s="399">
        <v>41.775660000000016</v>
      </c>
      <c r="EA69" s="399">
        <v>0</v>
      </c>
      <c r="EB69" s="399">
        <v>0</v>
      </c>
      <c r="EC69" s="399">
        <v>-170.49363482529449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216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954</v>
      </c>
      <c r="C70" s="399" t="s">
        <v>2352</v>
      </c>
      <c r="D70" s="399" t="s">
        <v>2363</v>
      </c>
      <c r="E70" s="399" t="s">
        <v>892</v>
      </c>
      <c r="F70" s="399" t="s">
        <v>2370</v>
      </c>
      <c r="G70" s="399" t="s">
        <v>2371</v>
      </c>
      <c r="H70" s="399" t="s">
        <v>1237</v>
      </c>
      <c r="I70" s="399" t="s">
        <v>1237</v>
      </c>
      <c r="J70" s="399" t="s">
        <v>2353</v>
      </c>
      <c r="K70" s="789">
        <v>44470</v>
      </c>
      <c r="L70" s="399">
        <v>0</v>
      </c>
      <c r="M70" s="399">
        <v>0</v>
      </c>
      <c r="N70" s="399">
        <v>0</v>
      </c>
      <c r="O70" s="399">
        <v>0</v>
      </c>
      <c r="P70" s="399">
        <v>0</v>
      </c>
      <c r="Q70" s="399">
        <v>0</v>
      </c>
      <c r="R70" s="399"/>
      <c r="S70" s="399"/>
      <c r="T70" s="399"/>
      <c r="U70" s="399"/>
      <c r="V70" s="399"/>
      <c r="W70" s="399"/>
      <c r="X70" s="399"/>
      <c r="Y70" s="399"/>
      <c r="Z70" s="399"/>
      <c r="AA70" s="399">
        <v>0</v>
      </c>
      <c r="AB70" s="399"/>
      <c r="AC70" s="399"/>
      <c r="AD70" s="399"/>
      <c r="AE70" s="399"/>
      <c r="AF70" s="399"/>
      <c r="AG70" s="399"/>
      <c r="AH70" s="399"/>
      <c r="AI70" s="399"/>
      <c r="AJ70" s="399"/>
      <c r="AK70" s="399"/>
      <c r="AL70" s="399"/>
      <c r="AM70" s="399"/>
      <c r="AN70" s="399"/>
      <c r="AO70" s="399"/>
      <c r="AP70" s="399"/>
      <c r="AQ70" s="399"/>
      <c r="AR70" s="399"/>
      <c r="AS70" s="399"/>
      <c r="AT70" s="399"/>
      <c r="AU70" s="399"/>
      <c r="AV70" s="399"/>
      <c r="AW70" s="399"/>
      <c r="AX70" s="399"/>
      <c r="AY70" s="399"/>
      <c r="AZ70" s="399">
        <v>0</v>
      </c>
      <c r="BA70" s="399"/>
      <c r="BB70" s="399"/>
      <c r="BC70" s="399"/>
      <c r="BD70" s="399"/>
      <c r="BE70" s="399"/>
      <c r="BF70" s="399"/>
      <c r="BG70" s="399"/>
      <c r="BH70" s="399"/>
      <c r="BI70" s="399">
        <v>0</v>
      </c>
      <c r="BJ70" s="399">
        <v>0</v>
      </c>
      <c r="BK70" s="399">
        <v>1858.74</v>
      </c>
      <c r="BL70" s="399">
        <v>37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/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/>
      <c r="CJ70" s="399">
        <v>-0.03</v>
      </c>
      <c r="CK70" s="399"/>
      <c r="CL70" s="399"/>
      <c r="CM70" s="399"/>
      <c r="CN70" s="399"/>
      <c r="CO70" s="399">
        <v>0</v>
      </c>
      <c r="CP70" s="399">
        <v>0</v>
      </c>
      <c r="CQ70" s="399">
        <v>31</v>
      </c>
      <c r="CR70" s="399"/>
      <c r="CS70" s="399"/>
      <c r="CT70" s="399"/>
      <c r="CU70" s="399"/>
      <c r="CV70" s="399"/>
      <c r="CW70" s="399"/>
      <c r="CX70" s="399"/>
      <c r="CY70" s="399"/>
      <c r="CZ70" s="399"/>
      <c r="DA70" s="399"/>
      <c r="DB70" s="399"/>
      <c r="DC70" s="399"/>
      <c r="DD70" s="399"/>
      <c r="DE70" s="399"/>
      <c r="DF70" s="399"/>
      <c r="DG70" s="399"/>
      <c r="DH70" s="399"/>
      <c r="DI70" s="399"/>
      <c r="DJ70" s="399"/>
      <c r="DK70" s="399">
        <v>0</v>
      </c>
      <c r="DL70" s="399"/>
      <c r="DM70" s="399"/>
      <c r="DN70" s="399"/>
      <c r="DO70" s="399"/>
      <c r="DP70" s="399"/>
      <c r="DQ70" s="399"/>
      <c r="DR70" s="399"/>
      <c r="DS70" s="399"/>
      <c r="DT70" s="399"/>
      <c r="DU70" s="399"/>
      <c r="DV70" s="399"/>
      <c r="DW70" s="399"/>
      <c r="DX70" s="399"/>
      <c r="DY70" s="399"/>
      <c r="DZ70" s="399"/>
      <c r="EA70" s="399"/>
      <c r="EB70" s="399"/>
      <c r="EC70" s="399"/>
      <c r="ED70" s="399"/>
      <c r="EE70" s="399"/>
      <c r="EF70" s="399"/>
      <c r="EG70" s="399"/>
      <c r="EH70" s="399"/>
      <c r="EI70" s="399"/>
      <c r="EJ70" s="399"/>
      <c r="EK70" s="399"/>
      <c r="EL70" s="399"/>
      <c r="EM70" s="399"/>
      <c r="EN70" s="399"/>
      <c r="EO70" s="399"/>
      <c r="EP70" s="399"/>
      <c r="EQ70" s="399"/>
      <c r="ER70" s="399"/>
      <c r="ES70" s="399"/>
      <c r="ET70" s="399"/>
      <c r="EU70" s="399"/>
      <c r="EV70" s="399">
        <v>216</v>
      </c>
      <c r="EW70" s="399"/>
      <c r="EX70" s="399"/>
      <c r="EY70" s="399"/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2354</v>
      </c>
      <c r="C71" s="399" t="s">
        <v>2352</v>
      </c>
      <c r="D71" s="399" t="s">
        <v>2363</v>
      </c>
      <c r="E71" s="399" t="s">
        <v>892</v>
      </c>
      <c r="F71" s="399" t="s">
        <v>2370</v>
      </c>
      <c r="G71" s="399" t="s">
        <v>2371</v>
      </c>
      <c r="H71" s="399" t="s">
        <v>1237</v>
      </c>
      <c r="I71" s="399" t="s">
        <v>1237</v>
      </c>
      <c r="J71" s="399" t="s">
        <v>2353</v>
      </c>
      <c r="K71" s="789">
        <v>44470</v>
      </c>
      <c r="L71" s="399">
        <v>0</v>
      </c>
      <c r="M71" s="399">
        <v>0</v>
      </c>
      <c r="N71" s="399">
        <v>0</v>
      </c>
      <c r="O71" s="399">
        <v>0</v>
      </c>
      <c r="P71" s="399">
        <v>0</v>
      </c>
      <c r="Q71" s="399">
        <v>0</v>
      </c>
      <c r="R71" s="399"/>
      <c r="S71" s="399"/>
      <c r="T71" s="399"/>
      <c r="U71" s="399"/>
      <c r="V71" s="399"/>
      <c r="W71" s="399"/>
      <c r="X71" s="399"/>
      <c r="Y71" s="399"/>
      <c r="Z71" s="399"/>
      <c r="AA71" s="399">
        <v>0</v>
      </c>
      <c r="AB71" s="399"/>
      <c r="AC71" s="399"/>
      <c r="AD71" s="399"/>
      <c r="AE71" s="399"/>
      <c r="AF71" s="399"/>
      <c r="AG71" s="399"/>
      <c r="AH71" s="399"/>
      <c r="AI71" s="399"/>
      <c r="AJ71" s="399"/>
      <c r="AK71" s="399"/>
      <c r="AL71" s="399"/>
      <c r="AM71" s="399"/>
      <c r="AN71" s="399"/>
      <c r="AO71" s="399"/>
      <c r="AP71" s="399"/>
      <c r="AQ71" s="399"/>
      <c r="AR71" s="399"/>
      <c r="AS71" s="399"/>
      <c r="AT71" s="399"/>
      <c r="AU71" s="399"/>
      <c r="AV71" s="399"/>
      <c r="AW71" s="399"/>
      <c r="AX71" s="399"/>
      <c r="AY71" s="399"/>
      <c r="AZ71" s="399">
        <v>0</v>
      </c>
      <c r="BA71" s="399"/>
      <c r="BB71" s="399"/>
      <c r="BC71" s="399"/>
      <c r="BD71" s="399"/>
      <c r="BE71" s="399"/>
      <c r="BF71" s="399"/>
      <c r="BG71" s="399"/>
      <c r="BH71" s="399"/>
      <c r="BI71" s="399">
        <v>0</v>
      </c>
      <c r="BJ71" s="399">
        <v>0</v>
      </c>
      <c r="BK71" s="399">
        <v>-10.58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/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/>
      <c r="CJ71" s="399">
        <v>-0.03</v>
      </c>
      <c r="CK71" s="399"/>
      <c r="CL71" s="399"/>
      <c r="CM71" s="399"/>
      <c r="CN71" s="399"/>
      <c r="CO71" s="399">
        <v>0</v>
      </c>
      <c r="CP71" s="399">
        <v>0</v>
      </c>
      <c r="CQ71" s="399">
        <v>31</v>
      </c>
      <c r="CR71" s="399"/>
      <c r="CS71" s="399"/>
      <c r="CT71" s="399"/>
      <c r="CU71" s="399"/>
      <c r="CV71" s="399"/>
      <c r="CW71" s="399"/>
      <c r="CX71" s="399"/>
      <c r="CY71" s="399"/>
      <c r="CZ71" s="399"/>
      <c r="DA71" s="399"/>
      <c r="DB71" s="399"/>
      <c r="DC71" s="399"/>
      <c r="DD71" s="399"/>
      <c r="DE71" s="399"/>
      <c r="DF71" s="399"/>
      <c r="DG71" s="399"/>
      <c r="DH71" s="399"/>
      <c r="DI71" s="399"/>
      <c r="DJ71" s="399"/>
      <c r="DK71" s="399">
        <v>0</v>
      </c>
      <c r="DL71" s="399"/>
      <c r="DM71" s="399"/>
      <c r="DN71" s="399"/>
      <c r="DO71" s="399"/>
      <c r="DP71" s="399"/>
      <c r="DQ71" s="399"/>
      <c r="DR71" s="399"/>
      <c r="DS71" s="399"/>
      <c r="DT71" s="399"/>
      <c r="DU71" s="399"/>
      <c r="DV71" s="399"/>
      <c r="DW71" s="399"/>
      <c r="DX71" s="399"/>
      <c r="DY71" s="399"/>
      <c r="DZ71" s="399"/>
      <c r="EA71" s="399"/>
      <c r="EB71" s="399"/>
      <c r="EC71" s="399"/>
      <c r="ED71" s="399"/>
      <c r="EE71" s="399"/>
      <c r="EF71" s="399"/>
      <c r="EG71" s="399"/>
      <c r="EH71" s="399"/>
      <c r="EI71" s="399"/>
      <c r="EJ71" s="399"/>
      <c r="EK71" s="399"/>
      <c r="EL71" s="399"/>
      <c r="EM71" s="399"/>
      <c r="EN71" s="399"/>
      <c r="EO71" s="399"/>
      <c r="EP71" s="399"/>
      <c r="EQ71" s="399"/>
      <c r="ER71" s="399"/>
      <c r="ES71" s="399"/>
      <c r="ET71" s="399"/>
      <c r="EU71" s="399"/>
      <c r="EV71" s="399">
        <v>216</v>
      </c>
      <c r="EW71" s="399"/>
      <c r="EX71" s="399"/>
      <c r="EY71" s="399"/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954</v>
      </c>
      <c r="C72" s="399" t="s">
        <v>2352</v>
      </c>
      <c r="D72" s="399" t="s">
        <v>2363</v>
      </c>
      <c r="E72" s="399" t="s">
        <v>892</v>
      </c>
      <c r="F72" s="399" t="s">
        <v>2370</v>
      </c>
      <c r="G72" s="399" t="s">
        <v>2371</v>
      </c>
      <c r="H72" s="399" t="s">
        <v>1237</v>
      </c>
      <c r="I72" s="399" t="s">
        <v>1237</v>
      </c>
      <c r="J72" s="399" t="s">
        <v>2353</v>
      </c>
      <c r="K72" s="789">
        <v>44470</v>
      </c>
      <c r="L72" s="399">
        <v>0</v>
      </c>
      <c r="M72" s="399">
        <v>0</v>
      </c>
      <c r="N72" s="399">
        <v>7.9189999999999996</v>
      </c>
      <c r="O72" s="399">
        <v>7.9189999999999996</v>
      </c>
      <c r="P72" s="399">
        <v>7.9189999999999996</v>
      </c>
      <c r="Q72" s="399">
        <v>7.9189999999999996</v>
      </c>
      <c r="R72" s="399"/>
      <c r="S72" s="399">
        <v>415.98</v>
      </c>
      <c r="T72" s="399">
        <v>215.17</v>
      </c>
      <c r="U72" s="399"/>
      <c r="V72" s="399">
        <v>4998.0768499999995</v>
      </c>
      <c r="W72" s="399">
        <v>4998.0768499999995</v>
      </c>
      <c r="X72" s="399">
        <v>4343.8882599999997</v>
      </c>
      <c r="Y72" s="399">
        <v>0</v>
      </c>
      <c r="Z72" s="399">
        <v>483.74477030786841</v>
      </c>
      <c r="AA72" s="399">
        <v>0</v>
      </c>
      <c r="AB72" s="399">
        <v>0</v>
      </c>
      <c r="AC72" s="399">
        <v>0</v>
      </c>
      <c r="AD72" s="399">
        <v>707.29005747098608</v>
      </c>
      <c r="AE72" s="399">
        <v>2002.0062845387401</v>
      </c>
      <c r="AF72" s="399">
        <v>1669.0237837329305</v>
      </c>
      <c r="AG72" s="399">
        <v>34.898830550581359</v>
      </c>
      <c r="AH72" s="399">
        <v>0</v>
      </c>
      <c r="AI72" s="399">
        <v>0</v>
      </c>
      <c r="AJ72" s="399">
        <v>0</v>
      </c>
      <c r="AK72" s="399">
        <v>0</v>
      </c>
      <c r="AL72" s="399">
        <v>74.750975704173939</v>
      </c>
      <c r="AM72" s="399"/>
      <c r="AN72" s="399">
        <v>9.3238106349372067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17.04116964778547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>
        <v>521.22857999999997</v>
      </c>
      <c r="BS72" s="399"/>
      <c r="BT72" s="399"/>
      <c r="BU72" s="399"/>
      <c r="BV72" s="399">
        <v>1686.0649533807159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3823.1423999999997</v>
      </c>
      <c r="CJ72" s="399">
        <v>-575.17939000000024</v>
      </c>
      <c r="CK72" s="399"/>
      <c r="CL72" s="399"/>
      <c r="CM72" s="399"/>
      <c r="CN72" s="399"/>
      <c r="CO72" s="399">
        <v>-869.42701000000011</v>
      </c>
      <c r="CP72" s="399">
        <v>215.23842000000005</v>
      </c>
      <c r="CQ72" s="399">
        <v>31</v>
      </c>
      <c r="CR72" s="399">
        <v>224.21772448815454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29.438955491283991</v>
      </c>
      <c r="DA72" s="399">
        <v>0</v>
      </c>
      <c r="DB72" s="399">
        <v>0</v>
      </c>
      <c r="DC72" s="399">
        <v>215.23434234184424</v>
      </c>
      <c r="DD72" s="399">
        <v>0</v>
      </c>
      <c r="DE72" s="399">
        <v>0</v>
      </c>
      <c r="DF72" s="399">
        <v>0</v>
      </c>
      <c r="DG72" s="399">
        <v>2.1975989663092079</v>
      </c>
      <c r="DH72" s="399">
        <v>0</v>
      </c>
      <c r="DI72" s="399">
        <v>-19.668577349316536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-2.3767475305899382</v>
      </c>
      <c r="DP72" s="399">
        <v>-0.60784743137651098</v>
      </c>
      <c r="DQ72" s="399">
        <v>0</v>
      </c>
      <c r="DR72" s="399">
        <v>0</v>
      </c>
      <c r="DS72" s="399"/>
      <c r="DT72" s="399"/>
      <c r="DU72" s="399"/>
      <c r="DV72" s="399">
        <v>2002.0062845387401</v>
      </c>
      <c r="DW72" s="399">
        <v>0</v>
      </c>
      <c r="DX72" s="399">
        <v>0</v>
      </c>
      <c r="DY72" s="399">
        <v>-869.42700999999988</v>
      </c>
      <c r="DZ72" s="399">
        <v>215.23841999999991</v>
      </c>
      <c r="EA72" s="399">
        <v>0</v>
      </c>
      <c r="EB72" s="399">
        <v>0</v>
      </c>
      <c r="EC72" s="399">
        <v>-878.42491488712244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216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2354</v>
      </c>
      <c r="C73" s="399" t="s">
        <v>2352</v>
      </c>
      <c r="D73" s="399" t="s">
        <v>2363</v>
      </c>
      <c r="E73" s="399" t="s">
        <v>892</v>
      </c>
      <c r="F73" s="399" t="s">
        <v>2370</v>
      </c>
      <c r="G73" s="399" t="s">
        <v>2371</v>
      </c>
      <c r="H73" s="399" t="s">
        <v>1237</v>
      </c>
      <c r="I73" s="399" t="s">
        <v>1237</v>
      </c>
      <c r="J73" s="399" t="s">
        <v>2353</v>
      </c>
      <c r="K73" s="789">
        <v>44470</v>
      </c>
      <c r="L73" s="399">
        <v>0</v>
      </c>
      <c r="M73" s="399">
        <v>0</v>
      </c>
      <c r="N73" s="399">
        <v>-0.1</v>
      </c>
      <c r="O73" s="399">
        <v>-0.1</v>
      </c>
      <c r="P73" s="399">
        <v>-0.1</v>
      </c>
      <c r="Q73" s="399">
        <v>-0.1</v>
      </c>
      <c r="R73" s="399"/>
      <c r="S73" s="399">
        <v>415.98</v>
      </c>
      <c r="T73" s="399">
        <v>215.17</v>
      </c>
      <c r="U73" s="399"/>
      <c r="V73" s="399">
        <v>-63.115000000000009</v>
      </c>
      <c r="W73" s="399">
        <v>-63.115000000000009</v>
      </c>
      <c r="X73" s="399">
        <v>-54.853999999999999</v>
      </c>
      <c r="Y73" s="399">
        <v>0</v>
      </c>
      <c r="Z73" s="399">
        <v>-6.1086598094187208</v>
      </c>
      <c r="AA73" s="399">
        <v>0</v>
      </c>
      <c r="AB73" s="399">
        <v>0</v>
      </c>
      <c r="AC73" s="399">
        <v>0</v>
      </c>
      <c r="AD73" s="399">
        <v>-8.9315577405099909</v>
      </c>
      <c r="AE73" s="399">
        <v>-25.281049179678501</v>
      </c>
      <c r="AF73" s="399">
        <v>-21.076193758466104</v>
      </c>
      <c r="AG73" s="399">
        <v>-0.44069744349768103</v>
      </c>
      <c r="AH73" s="399">
        <v>0</v>
      </c>
      <c r="AI73" s="399">
        <v>0</v>
      </c>
      <c r="AJ73" s="399">
        <v>0</v>
      </c>
      <c r="AK73" s="399">
        <v>0</v>
      </c>
      <c r="AL73" s="399">
        <v>-0.94394463573903209</v>
      </c>
      <c r="AM73" s="399"/>
      <c r="AN73" s="399">
        <v>-0.11773974788404101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-0.215193454322332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>
        <v>-6.5819999999999999</v>
      </c>
      <c r="BS73" s="399"/>
      <c r="BT73" s="399"/>
      <c r="BU73" s="399"/>
      <c r="BV73" s="399">
        <v>-21.291387212788436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-48.272000000000006</v>
      </c>
      <c r="CJ73" s="399">
        <v>7.2389999999999972</v>
      </c>
      <c r="CK73" s="399"/>
      <c r="CL73" s="399"/>
      <c r="CM73" s="399"/>
      <c r="CN73" s="399"/>
      <c r="CO73" s="399">
        <v>10.979000000000003</v>
      </c>
      <c r="CP73" s="399">
        <v>-2.7180000000000009</v>
      </c>
      <c r="CQ73" s="399">
        <v>31</v>
      </c>
      <c r="CR73" s="399">
        <v>-2.8313893735087063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-0.37175092172349977</v>
      </c>
      <c r="DA73" s="399">
        <v>0</v>
      </c>
      <c r="DB73" s="399">
        <v>0</v>
      </c>
      <c r="DC73" s="399">
        <v>-2.7179485079156969</v>
      </c>
      <c r="DD73" s="399">
        <v>0</v>
      </c>
      <c r="DE73" s="399">
        <v>0</v>
      </c>
      <c r="DF73" s="399">
        <v>0</v>
      </c>
      <c r="DG73" s="399">
        <v>-2.7750965605622013E-2</v>
      </c>
      <c r="DH73" s="399">
        <v>0</v>
      </c>
      <c r="DI73" s="399">
        <v>0.24837198319632048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3.0013228066548048E-2</v>
      </c>
      <c r="DP73" s="399">
        <v>7.6758104732480154E-3</v>
      </c>
      <c r="DQ73" s="399">
        <v>0</v>
      </c>
      <c r="DR73" s="399">
        <v>0</v>
      </c>
      <c r="DS73" s="399"/>
      <c r="DT73" s="399"/>
      <c r="DU73" s="399"/>
      <c r="DV73" s="399">
        <v>-25.281049179678501</v>
      </c>
      <c r="DW73" s="399">
        <v>0</v>
      </c>
      <c r="DX73" s="399">
        <v>0</v>
      </c>
      <c r="DY73" s="399">
        <v>10.979000000000006</v>
      </c>
      <c r="DZ73" s="399">
        <v>-2.718</v>
      </c>
      <c r="EA73" s="399">
        <v>0</v>
      </c>
      <c r="EB73" s="399">
        <v>0</v>
      </c>
      <c r="EC73" s="399">
        <v>11.092624256688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216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954</v>
      </c>
      <c r="C74" s="399" t="s">
        <v>2352</v>
      </c>
      <c r="D74" s="399" t="s">
        <v>2363</v>
      </c>
      <c r="E74" s="399" t="s">
        <v>892</v>
      </c>
      <c r="F74" s="399" t="s">
        <v>2370</v>
      </c>
      <c r="G74" s="399" t="s">
        <v>2372</v>
      </c>
      <c r="H74" s="399" t="s">
        <v>1237</v>
      </c>
      <c r="I74" s="399" t="s">
        <v>1237</v>
      </c>
      <c r="J74" s="399" t="s">
        <v>2353</v>
      </c>
      <c r="K74" s="789">
        <v>44470</v>
      </c>
      <c r="L74" s="399">
        <v>0</v>
      </c>
      <c r="M74" s="399">
        <v>0</v>
      </c>
      <c r="N74" s="399">
        <v>4.2409999999999997</v>
      </c>
      <c r="O74" s="399">
        <v>1.6963999999999999</v>
      </c>
      <c r="P74" s="399">
        <v>4.2409999999999997</v>
      </c>
      <c r="Q74" s="399">
        <v>1.6963999999999999</v>
      </c>
      <c r="R74" s="399"/>
      <c r="S74" s="399">
        <v>415.98</v>
      </c>
      <c r="T74" s="399">
        <v>215.17</v>
      </c>
      <c r="U74" s="399"/>
      <c r="V74" s="399">
        <v>2676.7071499999997</v>
      </c>
      <c r="W74" s="399">
        <v>2676.7071499999997</v>
      </c>
      <c r="X74" s="399">
        <v>2326.3581399999998</v>
      </c>
      <c r="Y74" s="399">
        <v>0</v>
      </c>
      <c r="Z74" s="399">
        <v>259.06826251744792</v>
      </c>
      <c r="AA74" s="399">
        <v>0</v>
      </c>
      <c r="AB74" s="399">
        <v>0</v>
      </c>
      <c r="AC74" s="399">
        <v>0</v>
      </c>
      <c r="AD74" s="399">
        <v>378.78736377502867</v>
      </c>
      <c r="AE74" s="399">
        <v>1072.169295710165</v>
      </c>
      <c r="AF74" s="399">
        <v>893.84137729654731</v>
      </c>
      <c r="AG74" s="399">
        <v>18.68997857873665</v>
      </c>
      <c r="AH74" s="399">
        <v>0</v>
      </c>
      <c r="AI74" s="399">
        <v>0</v>
      </c>
      <c r="AJ74" s="399">
        <v>0</v>
      </c>
      <c r="AK74" s="399">
        <v>0</v>
      </c>
      <c r="AL74" s="399">
        <v>40.032692001692347</v>
      </c>
      <c r="AM74" s="399"/>
      <c r="AN74" s="399">
        <v>4.9933427077621788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9.1263543978100987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>
        <v>1507.4719320000002</v>
      </c>
      <c r="BT74" s="399"/>
      <c r="BU74" s="399"/>
      <c r="BV74" s="399">
        <v>902.96773169435744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820.62400000000002</v>
      </c>
      <c r="CJ74" s="399">
        <v>-121.60352399999988</v>
      </c>
      <c r="CK74" s="399"/>
      <c r="CL74" s="399"/>
      <c r="CM74" s="399"/>
      <c r="CN74" s="399"/>
      <c r="CO74" s="399">
        <v>-465.61939000000007</v>
      </c>
      <c r="CP74" s="399">
        <v>115.27038000000002</v>
      </c>
      <c r="CQ74" s="399">
        <v>31</v>
      </c>
      <c r="CR74" s="399">
        <v>120.07922333050442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15.765956590293627</v>
      </c>
      <c r="DA74" s="399">
        <v>0</v>
      </c>
      <c r="DB74" s="399">
        <v>0</v>
      </c>
      <c r="DC74" s="399">
        <v>115.26819622070479</v>
      </c>
      <c r="DD74" s="399">
        <v>0</v>
      </c>
      <c r="DE74" s="399">
        <v>0</v>
      </c>
      <c r="DF74" s="399">
        <v>0</v>
      </c>
      <c r="DG74" s="399">
        <v>1.17691845133443</v>
      </c>
      <c r="DH74" s="399">
        <v>0</v>
      </c>
      <c r="DI74" s="399">
        <v>-10.533455807355949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-1.2728610023022995</v>
      </c>
      <c r="DP74" s="399">
        <v>-0.32553112217044866</v>
      </c>
      <c r="DQ74" s="399">
        <v>0</v>
      </c>
      <c r="DR74" s="399">
        <v>0</v>
      </c>
      <c r="DS74" s="399"/>
      <c r="DT74" s="399"/>
      <c r="DU74" s="399"/>
      <c r="DV74" s="399">
        <v>1072.169295710165</v>
      </c>
      <c r="DW74" s="399">
        <v>0</v>
      </c>
      <c r="DX74" s="399">
        <v>0</v>
      </c>
      <c r="DY74" s="399">
        <v>-465.61938999999984</v>
      </c>
      <c r="DZ74" s="399">
        <v>115.27037999999993</v>
      </c>
      <c r="EA74" s="399">
        <v>0</v>
      </c>
      <c r="EB74" s="399">
        <v>0</v>
      </c>
      <c r="EC74" s="399">
        <v>-470.43819472613791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216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954</v>
      </c>
      <c r="C75" s="399" t="s">
        <v>2352</v>
      </c>
      <c r="D75" s="399" t="s">
        <v>2363</v>
      </c>
      <c r="E75" s="399" t="s">
        <v>892</v>
      </c>
      <c r="F75" s="399" t="s">
        <v>2373</v>
      </c>
      <c r="G75" s="399" t="s">
        <v>2371</v>
      </c>
      <c r="H75" s="399" t="s">
        <v>1237</v>
      </c>
      <c r="I75" s="399" t="s">
        <v>1237</v>
      </c>
      <c r="J75" s="399" t="s">
        <v>2353</v>
      </c>
      <c r="K75" s="789">
        <v>44470</v>
      </c>
      <c r="L75" s="399">
        <v>0</v>
      </c>
      <c r="M75" s="399">
        <v>0</v>
      </c>
      <c r="N75" s="399">
        <v>0</v>
      </c>
      <c r="O75" s="399">
        <v>0</v>
      </c>
      <c r="P75" s="399">
        <v>0</v>
      </c>
      <c r="Q75" s="399">
        <v>0</v>
      </c>
      <c r="R75" s="399"/>
      <c r="S75" s="399"/>
      <c r="T75" s="399"/>
      <c r="U75" s="399"/>
      <c r="V75" s="399"/>
      <c r="W75" s="399"/>
      <c r="X75" s="399"/>
      <c r="Y75" s="399"/>
      <c r="Z75" s="399"/>
      <c r="AA75" s="399">
        <v>0</v>
      </c>
      <c r="AB75" s="399"/>
      <c r="AC75" s="399"/>
      <c r="AD75" s="399"/>
      <c r="AE75" s="399"/>
      <c r="AF75" s="399"/>
      <c r="AG75" s="399"/>
      <c r="AH75" s="399"/>
      <c r="AI75" s="399"/>
      <c r="AJ75" s="399"/>
      <c r="AK75" s="399"/>
      <c r="AL75" s="399"/>
      <c r="AM75" s="399"/>
      <c r="AN75" s="399"/>
      <c r="AO75" s="399"/>
      <c r="AP75" s="399"/>
      <c r="AQ75" s="399"/>
      <c r="AR75" s="399"/>
      <c r="AS75" s="399"/>
      <c r="AT75" s="399"/>
      <c r="AU75" s="399"/>
      <c r="AV75" s="399"/>
      <c r="AW75" s="399"/>
      <c r="AX75" s="399"/>
      <c r="AY75" s="399"/>
      <c r="AZ75" s="399">
        <v>0</v>
      </c>
      <c r="BA75" s="399"/>
      <c r="BB75" s="399"/>
      <c r="BC75" s="399"/>
      <c r="BD75" s="399"/>
      <c r="BE75" s="399"/>
      <c r="BF75" s="399"/>
      <c r="BG75" s="399"/>
      <c r="BH75" s="399"/>
      <c r="BI75" s="399">
        <v>0</v>
      </c>
      <c r="BJ75" s="399">
        <v>0</v>
      </c>
      <c r="BK75" s="399">
        <v>247.52</v>
      </c>
      <c r="BL75" s="399">
        <v>2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/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/>
      <c r="CJ75" s="399">
        <v>-0.03</v>
      </c>
      <c r="CK75" s="399"/>
      <c r="CL75" s="399"/>
      <c r="CM75" s="399"/>
      <c r="CN75" s="399"/>
      <c r="CO75" s="399">
        <v>0</v>
      </c>
      <c r="CP75" s="399">
        <v>0</v>
      </c>
      <c r="CQ75" s="399">
        <v>31</v>
      </c>
      <c r="CR75" s="399"/>
      <c r="CS75" s="399"/>
      <c r="CT75" s="399"/>
      <c r="CU75" s="399"/>
      <c r="CV75" s="399"/>
      <c r="CW75" s="399"/>
      <c r="CX75" s="399"/>
      <c r="CY75" s="399"/>
      <c r="CZ75" s="399"/>
      <c r="DA75" s="399"/>
      <c r="DB75" s="399"/>
      <c r="DC75" s="399"/>
      <c r="DD75" s="399"/>
      <c r="DE75" s="399"/>
      <c r="DF75" s="399"/>
      <c r="DG75" s="399"/>
      <c r="DH75" s="399"/>
      <c r="DI75" s="399"/>
      <c r="DJ75" s="399"/>
      <c r="DK75" s="399">
        <v>0</v>
      </c>
      <c r="DL75" s="399"/>
      <c r="DM75" s="399"/>
      <c r="DN75" s="399"/>
      <c r="DO75" s="399"/>
      <c r="DP75" s="399"/>
      <c r="DQ75" s="399"/>
      <c r="DR75" s="399"/>
      <c r="DS75" s="399"/>
      <c r="DT75" s="399"/>
      <c r="DU75" s="399"/>
      <c r="DV75" s="399"/>
      <c r="DW75" s="399"/>
      <c r="DX75" s="399"/>
      <c r="DY75" s="399"/>
      <c r="DZ75" s="399"/>
      <c r="EA75" s="399"/>
      <c r="EB75" s="399"/>
      <c r="EC75" s="399"/>
      <c r="ED75" s="399"/>
      <c r="EE75" s="399"/>
      <c r="EF75" s="399"/>
      <c r="EG75" s="399"/>
      <c r="EH75" s="399"/>
      <c r="EI75" s="399"/>
      <c r="EJ75" s="399"/>
      <c r="EK75" s="399"/>
      <c r="EL75" s="399"/>
      <c r="EM75" s="399"/>
      <c r="EN75" s="399"/>
      <c r="EO75" s="399"/>
      <c r="EP75" s="399"/>
      <c r="EQ75" s="399"/>
      <c r="ER75" s="399"/>
      <c r="ES75" s="399"/>
      <c r="ET75" s="399"/>
      <c r="EU75" s="399"/>
      <c r="EV75" s="399">
        <v>216</v>
      </c>
      <c r="EW75" s="399"/>
      <c r="EX75" s="399"/>
      <c r="EY75" s="399"/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954</v>
      </c>
      <c r="C76" s="399" t="s">
        <v>2352</v>
      </c>
      <c r="D76" s="399" t="s">
        <v>2363</v>
      </c>
      <c r="E76" s="399" t="s">
        <v>892</v>
      </c>
      <c r="F76" s="399" t="s">
        <v>2373</v>
      </c>
      <c r="G76" s="399" t="s">
        <v>2371</v>
      </c>
      <c r="H76" s="399" t="s">
        <v>1237</v>
      </c>
      <c r="I76" s="399" t="s">
        <v>1237</v>
      </c>
      <c r="J76" s="399" t="s">
        <v>2353</v>
      </c>
      <c r="K76" s="789">
        <v>44470</v>
      </c>
      <c r="L76" s="399">
        <v>0</v>
      </c>
      <c r="M76" s="399">
        <v>0</v>
      </c>
      <c r="N76" s="399">
        <v>0.17899999999999999</v>
      </c>
      <c r="O76" s="399">
        <v>0.17899999999999999</v>
      </c>
      <c r="P76" s="399">
        <v>0.17899999999999999</v>
      </c>
      <c r="Q76" s="399">
        <v>0.17899999999999999</v>
      </c>
      <c r="R76" s="399"/>
      <c r="S76" s="399">
        <v>415.98</v>
      </c>
      <c r="T76" s="399">
        <v>215.17</v>
      </c>
      <c r="U76" s="399"/>
      <c r="V76" s="399">
        <v>112.97584999999999</v>
      </c>
      <c r="W76" s="399">
        <v>112.97584999999999</v>
      </c>
      <c r="X76" s="399">
        <v>98.188659999999999</v>
      </c>
      <c r="Y76" s="399">
        <v>0</v>
      </c>
      <c r="Z76" s="399">
        <v>10.934501058859508</v>
      </c>
      <c r="AA76" s="399">
        <v>0</v>
      </c>
      <c r="AB76" s="399">
        <v>0</v>
      </c>
      <c r="AC76" s="399">
        <v>0</v>
      </c>
      <c r="AD76" s="399">
        <v>15.987488355512882</v>
      </c>
      <c r="AE76" s="399">
        <v>45.253078031624511</v>
      </c>
      <c r="AF76" s="399">
        <v>37.726386827654316</v>
      </c>
      <c r="AG76" s="399">
        <v>0.78884842386084897</v>
      </c>
      <c r="AH76" s="399">
        <v>0</v>
      </c>
      <c r="AI76" s="399">
        <v>0</v>
      </c>
      <c r="AJ76" s="399">
        <v>0</v>
      </c>
      <c r="AK76" s="399">
        <v>0</v>
      </c>
      <c r="AL76" s="399">
        <v>1.6896608979728673</v>
      </c>
      <c r="AM76" s="399"/>
      <c r="AN76" s="399">
        <v>0.21075414871243339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0.38519628323697425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>
        <v>11.781779999999998</v>
      </c>
      <c r="BS76" s="399"/>
      <c r="BT76" s="399"/>
      <c r="BU76" s="399"/>
      <c r="BV76" s="399">
        <v>38.111583110891289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86.889600000000002</v>
      </c>
      <c r="CJ76" s="399">
        <v>-12.558790000000002</v>
      </c>
      <c r="CK76" s="399"/>
      <c r="CL76" s="399"/>
      <c r="CM76" s="399"/>
      <c r="CN76" s="399"/>
      <c r="CO76" s="399">
        <v>-19.652410000000003</v>
      </c>
      <c r="CP76" s="399">
        <v>4.8652200000000008</v>
      </c>
      <c r="CQ76" s="399">
        <v>31</v>
      </c>
      <c r="CR76" s="399">
        <v>5.0681869785805702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0.66543414988506377</v>
      </c>
      <c r="DA76" s="399">
        <v>0</v>
      </c>
      <c r="DB76" s="399">
        <v>0</v>
      </c>
      <c r="DC76" s="399">
        <v>4.8651278291691042</v>
      </c>
      <c r="DD76" s="399">
        <v>0</v>
      </c>
      <c r="DE76" s="399">
        <v>0</v>
      </c>
      <c r="DF76" s="399">
        <v>0</v>
      </c>
      <c r="DG76" s="399">
        <v>4.9674228434063439E-2</v>
      </c>
      <c r="DH76" s="399">
        <v>0</v>
      </c>
      <c r="DI76" s="399">
        <v>-0.44458584992141148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-5.3723678239121053E-2</v>
      </c>
      <c r="DP76" s="399">
        <v>-1.3739700747113948E-2</v>
      </c>
      <c r="DQ76" s="399">
        <v>0</v>
      </c>
      <c r="DR76" s="399">
        <v>0</v>
      </c>
      <c r="DS76" s="399"/>
      <c r="DT76" s="399"/>
      <c r="DU76" s="399"/>
      <c r="DV76" s="399">
        <v>45.253078031624511</v>
      </c>
      <c r="DW76" s="399">
        <v>0</v>
      </c>
      <c r="DX76" s="399">
        <v>0</v>
      </c>
      <c r="DY76" s="399">
        <v>-19.652410000000003</v>
      </c>
      <c r="DZ76" s="399">
        <v>4.8652200000000008</v>
      </c>
      <c r="EA76" s="399">
        <v>0</v>
      </c>
      <c r="EB76" s="399">
        <v>0</v>
      </c>
      <c r="EC76" s="399">
        <v>-19.855797419471514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216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954</v>
      </c>
      <c r="C77" s="399" t="s">
        <v>2352</v>
      </c>
      <c r="D77" s="399" t="s">
        <v>2363</v>
      </c>
      <c r="E77" s="399" t="s">
        <v>892</v>
      </c>
      <c r="F77" s="399" t="s">
        <v>2373</v>
      </c>
      <c r="G77" s="399" t="s">
        <v>2372</v>
      </c>
      <c r="H77" s="399" t="s">
        <v>1237</v>
      </c>
      <c r="I77" s="399" t="s">
        <v>1237</v>
      </c>
      <c r="J77" s="399" t="s">
        <v>2353</v>
      </c>
      <c r="K77" s="789">
        <v>44470</v>
      </c>
      <c r="L77" s="399">
        <v>0</v>
      </c>
      <c r="M77" s="399">
        <v>0</v>
      </c>
      <c r="N77" s="399">
        <v>1.417</v>
      </c>
      <c r="O77" s="399">
        <v>0.56679999999999997</v>
      </c>
      <c r="P77" s="399">
        <v>1.417</v>
      </c>
      <c r="Q77" s="399">
        <v>0.56679999999999997</v>
      </c>
      <c r="R77" s="399"/>
      <c r="S77" s="399">
        <v>415.98</v>
      </c>
      <c r="T77" s="399">
        <v>215.17</v>
      </c>
      <c r="U77" s="399"/>
      <c r="V77" s="399">
        <v>894.33955000000003</v>
      </c>
      <c r="W77" s="399">
        <v>894.33955000000003</v>
      </c>
      <c r="X77" s="399">
        <v>777.28117999999995</v>
      </c>
      <c r="Y77" s="399">
        <v>0</v>
      </c>
      <c r="Z77" s="399">
        <v>86.559709499463267</v>
      </c>
      <c r="AA77" s="399">
        <v>0</v>
      </c>
      <c r="AB77" s="399">
        <v>0</v>
      </c>
      <c r="AC77" s="399">
        <v>0</v>
      </c>
      <c r="AD77" s="399">
        <v>126.56017318302656</v>
      </c>
      <c r="AE77" s="399">
        <v>358.23246687604433</v>
      </c>
      <c r="AF77" s="399">
        <v>298.64966555746469</v>
      </c>
      <c r="AG77" s="399">
        <v>6.2446827743621398</v>
      </c>
      <c r="AH77" s="399">
        <v>0</v>
      </c>
      <c r="AI77" s="399">
        <v>0</v>
      </c>
      <c r="AJ77" s="399">
        <v>0</v>
      </c>
      <c r="AK77" s="399">
        <v>0</v>
      </c>
      <c r="AL77" s="399">
        <v>13.375695488422084</v>
      </c>
      <c r="AM77" s="399"/>
      <c r="AN77" s="399">
        <v>1.6683722275168611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3.0492912477474445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>
        <v>503.67548399999998</v>
      </c>
      <c r="BT77" s="399"/>
      <c r="BU77" s="399"/>
      <c r="BV77" s="399">
        <v>301.69895680521211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275.15039999999999</v>
      </c>
      <c r="CJ77" s="399">
        <v>-39.685987999999952</v>
      </c>
      <c r="CK77" s="399"/>
      <c r="CL77" s="399"/>
      <c r="CM77" s="399"/>
      <c r="CN77" s="399"/>
      <c r="CO77" s="399">
        <v>-155.57243000000003</v>
      </c>
      <c r="CP77" s="399">
        <v>38.514060000000008</v>
      </c>
      <c r="CQ77" s="399">
        <v>31</v>
      </c>
      <c r="CR77" s="399">
        <v>40.12078742261815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5.2677105608219961</v>
      </c>
      <c r="DA77" s="399">
        <v>0</v>
      </c>
      <c r="DB77" s="399">
        <v>0</v>
      </c>
      <c r="DC77" s="399">
        <v>38.513330357165444</v>
      </c>
      <c r="DD77" s="399">
        <v>0</v>
      </c>
      <c r="DE77" s="399">
        <v>0</v>
      </c>
      <c r="DF77" s="399">
        <v>0</v>
      </c>
      <c r="DG77" s="399">
        <v>0.39323118263166412</v>
      </c>
      <c r="DH77" s="399">
        <v>0</v>
      </c>
      <c r="DI77" s="399">
        <v>-3.5194310018918458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-0.42528744170298438</v>
      </c>
      <c r="DP77" s="399">
        <v>-0.10876623440592437</v>
      </c>
      <c r="DQ77" s="399">
        <v>0</v>
      </c>
      <c r="DR77" s="399">
        <v>0</v>
      </c>
      <c r="DS77" s="399"/>
      <c r="DT77" s="399"/>
      <c r="DU77" s="399"/>
      <c r="DV77" s="399">
        <v>358.23246687604433</v>
      </c>
      <c r="DW77" s="399">
        <v>0</v>
      </c>
      <c r="DX77" s="399">
        <v>0</v>
      </c>
      <c r="DY77" s="399">
        <v>-155.57243</v>
      </c>
      <c r="DZ77" s="399">
        <v>38.514059999999972</v>
      </c>
      <c r="EA77" s="399">
        <v>0</v>
      </c>
      <c r="EB77" s="399">
        <v>0</v>
      </c>
      <c r="EC77" s="399">
        <v>-157.18248571726892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216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954</v>
      </c>
      <c r="C78" s="399" t="s">
        <v>2352</v>
      </c>
      <c r="D78" s="399" t="s">
        <v>1821</v>
      </c>
      <c r="E78" s="399" t="s">
        <v>887</v>
      </c>
      <c r="F78" s="399" t="s">
        <v>887</v>
      </c>
      <c r="G78" s="399" t="s">
        <v>1237</v>
      </c>
      <c r="H78" s="399" t="s">
        <v>1237</v>
      </c>
      <c r="I78" s="399" t="s">
        <v>1237</v>
      </c>
      <c r="J78" s="399" t="s">
        <v>2353</v>
      </c>
      <c r="K78" s="789">
        <v>44501</v>
      </c>
      <c r="L78" s="399">
        <v>0</v>
      </c>
      <c r="M78" s="399">
        <v>0</v>
      </c>
      <c r="N78" s="399">
        <v>467.74700000000001</v>
      </c>
      <c r="O78" s="399">
        <v>467.74700000000001</v>
      </c>
      <c r="P78" s="399">
        <v>467.74700000000001</v>
      </c>
      <c r="Q78" s="399">
        <v>467.74700000000001</v>
      </c>
      <c r="R78" s="399"/>
      <c r="S78" s="399">
        <v>415.98</v>
      </c>
      <c r="T78" s="399">
        <v>215.17</v>
      </c>
      <c r="U78" s="399"/>
      <c r="V78" s="399">
        <v>295218.51905</v>
      </c>
      <c r="W78" s="399">
        <v>295218.51905</v>
      </c>
      <c r="X78" s="399">
        <v>256577.93938</v>
      </c>
      <c r="Y78" s="399">
        <v>0</v>
      </c>
      <c r="Z78" s="399">
        <v>28573.072998761781</v>
      </c>
      <c r="AA78" s="399">
        <v>0</v>
      </c>
      <c r="AB78" s="399">
        <v>0</v>
      </c>
      <c r="AC78" s="399">
        <v>0</v>
      </c>
      <c r="AD78" s="399">
        <v>41777.093384503263</v>
      </c>
      <c r="AE78" s="399">
        <v>118251.34910647079</v>
      </c>
      <c r="AF78" s="399">
        <v>98583.26401941244</v>
      </c>
      <c r="AG78" s="399">
        <v>2061.3490710370979</v>
      </c>
      <c r="AH78" s="399">
        <v>0</v>
      </c>
      <c r="AI78" s="399">
        <v>0</v>
      </c>
      <c r="AJ78" s="399">
        <v>0</v>
      </c>
      <c r="AK78" s="399">
        <v>0</v>
      </c>
      <c r="AL78" s="399">
        <v>4415.2727153302503</v>
      </c>
      <c r="AM78" s="399"/>
      <c r="AN78" s="399">
        <v>550.72413853516525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1006.5609267890783</v>
      </c>
      <c r="BH78" s="399">
        <v>0</v>
      </c>
      <c r="BI78" s="399">
        <v>0</v>
      </c>
      <c r="BJ78" s="399">
        <v>0</v>
      </c>
      <c r="BK78" s="399">
        <v>62155.71</v>
      </c>
      <c r="BL78" s="399">
        <v>2835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99589.824946201523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256579.58499999999</v>
      </c>
      <c r="CJ78" s="399">
        <v>-38638.964050000039</v>
      </c>
      <c r="CK78" s="399"/>
      <c r="CL78" s="399"/>
      <c r="CM78" s="399"/>
      <c r="CN78" s="399"/>
      <c r="CO78" s="399">
        <v>-51353.943130000014</v>
      </c>
      <c r="CP78" s="399">
        <v>12713.363460000004</v>
      </c>
      <c r="CQ78" s="399">
        <v>30</v>
      </c>
      <c r="CR78" s="399">
        <v>13243.73885290575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1738.8537838340199</v>
      </c>
      <c r="DA78" s="399">
        <v>0</v>
      </c>
      <c r="DB78" s="399">
        <v>0</v>
      </c>
      <c r="DC78" s="399">
        <v>12713.122607320445</v>
      </c>
      <c r="DD78" s="399">
        <v>0</v>
      </c>
      <c r="DE78" s="399">
        <v>0</v>
      </c>
      <c r="DF78" s="399">
        <v>0</v>
      </c>
      <c r="DG78" s="399">
        <v>129.80430909132872</v>
      </c>
      <c r="DH78" s="399">
        <v>0</v>
      </c>
      <c r="DI78" s="399">
        <v>-1161.7525002412913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-140.38597388443668</v>
      </c>
      <c r="DP78" s="399">
        <v>-35.903373214303315</v>
      </c>
      <c r="DQ78" s="399">
        <v>0</v>
      </c>
      <c r="DR78" s="399">
        <v>0</v>
      </c>
      <c r="DS78" s="399"/>
      <c r="DT78" s="399"/>
      <c r="DU78" s="399"/>
      <c r="DV78" s="399">
        <v>118251.34910647079</v>
      </c>
      <c r="DW78" s="399">
        <v>0</v>
      </c>
      <c r="DX78" s="399">
        <v>0</v>
      </c>
      <c r="DY78" s="399">
        <v>-51353.943130000029</v>
      </c>
      <c r="DZ78" s="399">
        <v>12713.363460000008</v>
      </c>
      <c r="EA78" s="399">
        <v>0</v>
      </c>
      <c r="EB78" s="399">
        <v>0</v>
      </c>
      <c r="EC78" s="399">
        <v>-51885.417181930417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216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2354</v>
      </c>
      <c r="C79" s="399" t="s">
        <v>2352</v>
      </c>
      <c r="D79" s="399" t="s">
        <v>1821</v>
      </c>
      <c r="E79" s="399" t="s">
        <v>887</v>
      </c>
      <c r="F79" s="399" t="s">
        <v>887</v>
      </c>
      <c r="G79" s="399" t="s">
        <v>1237</v>
      </c>
      <c r="H79" s="399" t="s">
        <v>1237</v>
      </c>
      <c r="I79" s="399" t="s">
        <v>1237</v>
      </c>
      <c r="J79" s="399" t="s">
        <v>2353</v>
      </c>
      <c r="K79" s="789">
        <v>44501</v>
      </c>
      <c r="L79" s="399">
        <v>0</v>
      </c>
      <c r="M79" s="399">
        <v>0</v>
      </c>
      <c r="N79" s="399">
        <v>-0.03</v>
      </c>
      <c r="O79" s="399">
        <v>-0.03</v>
      </c>
      <c r="P79" s="399">
        <v>-0.03</v>
      </c>
      <c r="Q79" s="399">
        <v>-0.03</v>
      </c>
      <c r="R79" s="399"/>
      <c r="S79" s="399">
        <v>415.98</v>
      </c>
      <c r="T79" s="399">
        <v>215.17</v>
      </c>
      <c r="U79" s="399"/>
      <c r="V79" s="399">
        <v>-18.9345</v>
      </c>
      <c r="W79" s="399">
        <v>-18.9345</v>
      </c>
      <c r="X79" s="399">
        <v>-16.456199999999999</v>
      </c>
      <c r="Y79" s="399">
        <v>0</v>
      </c>
      <c r="Z79" s="399">
        <v>-1.8325979428256161</v>
      </c>
      <c r="AA79" s="399">
        <v>0</v>
      </c>
      <c r="AB79" s="399">
        <v>0</v>
      </c>
      <c r="AC79" s="399">
        <v>0</v>
      </c>
      <c r="AD79" s="399">
        <v>-2.679467322152997</v>
      </c>
      <c r="AE79" s="399">
        <v>-7.5843147539035494</v>
      </c>
      <c r="AF79" s="399">
        <v>-6.3228581275398303</v>
      </c>
      <c r="AG79" s="399">
        <v>-0.13220923304930429</v>
      </c>
      <c r="AH79" s="399">
        <v>0</v>
      </c>
      <c r="AI79" s="399">
        <v>0</v>
      </c>
      <c r="AJ79" s="399">
        <v>0</v>
      </c>
      <c r="AK79" s="399">
        <v>0</v>
      </c>
      <c r="AL79" s="399">
        <v>-0.28318339072170962</v>
      </c>
      <c r="AM79" s="399"/>
      <c r="AN79" s="399">
        <v>-3.5321924365212302E-2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-6.4558036296699595E-2</v>
      </c>
      <c r="BH79" s="399">
        <v>0</v>
      </c>
      <c r="BI79" s="399">
        <v>0</v>
      </c>
      <c r="BJ79" s="399">
        <v>0</v>
      </c>
      <c r="BK79" s="399">
        <v>-6.9</v>
      </c>
      <c r="BL79" s="399">
        <v>0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-6.3874161638365301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-16.456199999999999</v>
      </c>
      <c r="CJ79" s="399">
        <v>2.4482999999999997</v>
      </c>
      <c r="CK79" s="399"/>
      <c r="CL79" s="399"/>
      <c r="CM79" s="399"/>
      <c r="CN79" s="399"/>
      <c r="CO79" s="399">
        <v>3.2937000000000003</v>
      </c>
      <c r="CP79" s="399">
        <v>-0.81540000000000012</v>
      </c>
      <c r="CQ79" s="399">
        <v>30</v>
      </c>
      <c r="CR79" s="399">
        <v>-0.84941681205261332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-0.11152527651705002</v>
      </c>
      <c r="DA79" s="399">
        <v>0</v>
      </c>
      <c r="DB79" s="399">
        <v>0</v>
      </c>
      <c r="DC79" s="399">
        <v>-0.81538455237470941</v>
      </c>
      <c r="DD79" s="399">
        <v>0</v>
      </c>
      <c r="DE79" s="399">
        <v>0</v>
      </c>
      <c r="DF79" s="399">
        <v>0</v>
      </c>
      <c r="DG79" s="399">
        <v>-8.3252896816866095E-3</v>
      </c>
      <c r="DH79" s="399">
        <v>0</v>
      </c>
      <c r="DI79" s="399">
        <v>7.4511594958895921E-2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9.0039684199644254E-3</v>
      </c>
      <c r="DP79" s="399">
        <v>2.3027431419744074E-3</v>
      </c>
      <c r="DQ79" s="399">
        <v>0</v>
      </c>
      <c r="DR79" s="399">
        <v>0</v>
      </c>
      <c r="DS79" s="399"/>
      <c r="DT79" s="399"/>
      <c r="DU79" s="399"/>
      <c r="DV79" s="399">
        <v>-7.5843147539035494</v>
      </c>
      <c r="DW79" s="399">
        <v>0</v>
      </c>
      <c r="DX79" s="399">
        <v>0</v>
      </c>
      <c r="DY79" s="399">
        <v>3.2937000000000012</v>
      </c>
      <c r="DZ79" s="399">
        <v>-0.81540000000000035</v>
      </c>
      <c r="EA79" s="399">
        <v>0</v>
      </c>
      <c r="EB79" s="399">
        <v>0</v>
      </c>
      <c r="EC79" s="399">
        <v>3.327787277006399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216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2355</v>
      </c>
      <c r="C80" s="399" t="s">
        <v>2352</v>
      </c>
      <c r="D80" s="399" t="s">
        <v>1821</v>
      </c>
      <c r="E80" s="399" t="s">
        <v>887</v>
      </c>
      <c r="F80" s="399" t="s">
        <v>887</v>
      </c>
      <c r="G80" s="399" t="s">
        <v>1237</v>
      </c>
      <c r="H80" s="399" t="s">
        <v>1237</v>
      </c>
      <c r="I80" s="399" t="s">
        <v>1237</v>
      </c>
      <c r="J80" s="399" t="s">
        <v>2353</v>
      </c>
      <c r="K80" s="789">
        <v>44501</v>
      </c>
      <c r="L80" s="399">
        <v>0</v>
      </c>
      <c r="M80" s="399">
        <v>0</v>
      </c>
      <c r="N80" s="399">
        <v>2.274</v>
      </c>
      <c r="O80" s="399">
        <v>2.274</v>
      </c>
      <c r="P80" s="399">
        <v>2.274</v>
      </c>
      <c r="Q80" s="399">
        <v>2.274</v>
      </c>
      <c r="R80" s="399"/>
      <c r="S80" s="399">
        <v>415.98</v>
      </c>
      <c r="T80" s="399">
        <v>215.17</v>
      </c>
      <c r="U80" s="399"/>
      <c r="V80" s="399">
        <v>1435.2350999999999</v>
      </c>
      <c r="W80" s="399">
        <v>1435.2350999999999</v>
      </c>
      <c r="X80" s="399">
        <v>1247.37996</v>
      </c>
      <c r="Y80" s="399">
        <v>0</v>
      </c>
      <c r="Z80" s="399">
        <v>138.91092406618171</v>
      </c>
      <c r="AA80" s="399">
        <v>0</v>
      </c>
      <c r="AB80" s="399">
        <v>0</v>
      </c>
      <c r="AC80" s="399">
        <v>0</v>
      </c>
      <c r="AD80" s="399">
        <v>203.10362301919719</v>
      </c>
      <c r="AE80" s="399">
        <v>574.89105834588906</v>
      </c>
      <c r="AF80" s="399">
        <v>479.27264606751913</v>
      </c>
      <c r="AG80" s="399">
        <v>10.021459865137267</v>
      </c>
      <c r="AH80" s="399">
        <v>0</v>
      </c>
      <c r="AI80" s="399">
        <v>0</v>
      </c>
      <c r="AJ80" s="399">
        <v>0</v>
      </c>
      <c r="AK80" s="399">
        <v>0</v>
      </c>
      <c r="AL80" s="399">
        <v>21.465301016705588</v>
      </c>
      <c r="AM80" s="399"/>
      <c r="AN80" s="399">
        <v>2.6774018668830926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4.8934991512898298</v>
      </c>
      <c r="BH80" s="399">
        <v>0</v>
      </c>
      <c r="BI80" s="399">
        <v>0</v>
      </c>
      <c r="BJ80" s="399">
        <v>0</v>
      </c>
      <c r="BK80" s="399">
        <v>801.63</v>
      </c>
      <c r="BL80" s="399">
        <v>18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484.16614521880894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1245.1858</v>
      </c>
      <c r="CJ80" s="399">
        <v>-190.07929999999988</v>
      </c>
      <c r="CK80" s="399"/>
      <c r="CL80" s="399"/>
      <c r="CM80" s="399"/>
      <c r="CN80" s="399"/>
      <c r="CO80" s="399">
        <v>-249.66246000000004</v>
      </c>
      <c r="CP80" s="399">
        <v>61.807320000000018</v>
      </c>
      <c r="CQ80" s="399">
        <v>30</v>
      </c>
      <c r="CR80" s="399">
        <v>64.385794353587926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8.4536159599923906</v>
      </c>
      <c r="DA80" s="399">
        <v>0</v>
      </c>
      <c r="DB80" s="399">
        <v>0</v>
      </c>
      <c r="DC80" s="399">
        <v>61.806149070002959</v>
      </c>
      <c r="DD80" s="399">
        <v>0</v>
      </c>
      <c r="DE80" s="399">
        <v>0</v>
      </c>
      <c r="DF80" s="399">
        <v>0</v>
      </c>
      <c r="DG80" s="399">
        <v>0.63105695787184413</v>
      </c>
      <c r="DH80" s="399">
        <v>0</v>
      </c>
      <c r="DI80" s="399">
        <v>-5.6479788978843146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-0.68250080623329978</v>
      </c>
      <c r="DP80" s="399">
        <v>-0.17454793016166015</v>
      </c>
      <c r="DQ80" s="399">
        <v>0</v>
      </c>
      <c r="DR80" s="399">
        <v>0</v>
      </c>
      <c r="DS80" s="399"/>
      <c r="DT80" s="399"/>
      <c r="DU80" s="399"/>
      <c r="DV80" s="399">
        <v>574.89105834588906</v>
      </c>
      <c r="DW80" s="399">
        <v>0</v>
      </c>
      <c r="DX80" s="399">
        <v>0</v>
      </c>
      <c r="DY80" s="399">
        <v>-249.66246000000001</v>
      </c>
      <c r="DZ80" s="399">
        <v>61.807320000000004</v>
      </c>
      <c r="EA80" s="399">
        <v>0</v>
      </c>
      <c r="EB80" s="399">
        <v>0</v>
      </c>
      <c r="EC80" s="399">
        <v>-252.24627559708506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216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954</v>
      </c>
      <c r="C81" s="399" t="s">
        <v>2352</v>
      </c>
      <c r="D81" s="399" t="s">
        <v>1821</v>
      </c>
      <c r="E81" s="399" t="s">
        <v>887</v>
      </c>
      <c r="F81" s="399" t="s">
        <v>2356</v>
      </c>
      <c r="G81" s="399" t="s">
        <v>1237</v>
      </c>
      <c r="H81" s="399" t="s">
        <v>1237</v>
      </c>
      <c r="I81" s="399" t="s">
        <v>1237</v>
      </c>
      <c r="J81" s="399" t="s">
        <v>2353</v>
      </c>
      <c r="K81" s="789">
        <v>44501</v>
      </c>
      <c r="L81" s="399">
        <v>0</v>
      </c>
      <c r="M81" s="399">
        <v>0</v>
      </c>
      <c r="N81" s="399">
        <v>5.34</v>
      </c>
      <c r="O81" s="399">
        <v>5.34</v>
      </c>
      <c r="P81" s="399">
        <v>5.34</v>
      </c>
      <c r="Q81" s="399">
        <v>5.34</v>
      </c>
      <c r="R81" s="399"/>
      <c r="S81" s="399">
        <v>345.46</v>
      </c>
      <c r="T81" s="399">
        <v>215.17</v>
      </c>
      <c r="U81" s="399"/>
      <c r="V81" s="399">
        <v>2993.7641999999996</v>
      </c>
      <c r="W81" s="399">
        <v>2993.7641999999996</v>
      </c>
      <c r="X81" s="399">
        <v>2567.4719999999998</v>
      </c>
      <c r="Y81" s="399">
        <v>0</v>
      </c>
      <c r="Z81" s="399">
        <v>0</v>
      </c>
      <c r="AA81" s="399">
        <v>0</v>
      </c>
      <c r="AB81" s="399">
        <v>0</v>
      </c>
      <c r="AC81" s="399">
        <v>0</v>
      </c>
      <c r="AD81" s="399">
        <v>476.94518334323345</v>
      </c>
      <c r="AE81" s="399">
        <v>1350.0080261948317</v>
      </c>
      <c r="AF81" s="399">
        <v>1125.4687467020897</v>
      </c>
      <c r="AG81" s="399">
        <v>23.533243482776165</v>
      </c>
      <c r="AH81" s="399">
        <v>0</v>
      </c>
      <c r="AI81" s="399">
        <v>0</v>
      </c>
      <c r="AJ81" s="399">
        <v>0</v>
      </c>
      <c r="AK81" s="399">
        <v>0</v>
      </c>
      <c r="AL81" s="399">
        <v>0</v>
      </c>
      <c r="AM81" s="399"/>
      <c r="AN81" s="399">
        <v>6.2873025370077897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11.491330460812527</v>
      </c>
      <c r="BH81" s="399">
        <v>0</v>
      </c>
      <c r="BI81" s="399">
        <v>0</v>
      </c>
      <c r="BJ81" s="399">
        <v>0</v>
      </c>
      <c r="BK81" s="399">
        <v>121.76</v>
      </c>
      <c r="BL81" s="399">
        <v>9</v>
      </c>
      <c r="BM81" s="399"/>
      <c r="BN81" s="399"/>
      <c r="BO81" s="399"/>
      <c r="BP81" s="399"/>
      <c r="BQ81" s="399"/>
      <c r="BR81" s="399"/>
      <c r="BS81" s="399"/>
      <c r="BT81" s="399">
        <v>1668.8568</v>
      </c>
      <c r="BU81" s="399"/>
      <c r="BV81" s="399">
        <v>1136.9600771629023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898.61519999999996</v>
      </c>
      <c r="CJ81" s="399">
        <v>-149.22960000000012</v>
      </c>
      <c r="CK81" s="399"/>
      <c r="CL81" s="399"/>
      <c r="CM81" s="399"/>
      <c r="CN81" s="399"/>
      <c r="CO81" s="399">
        <v>-571.43339999999989</v>
      </c>
      <c r="CP81" s="399">
        <v>145.14120000000003</v>
      </c>
      <c r="CQ81" s="399">
        <v>30</v>
      </c>
      <c r="CR81" s="399">
        <v>166.0619628268023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19.851499220034952</v>
      </c>
      <c r="DA81" s="399">
        <v>0</v>
      </c>
      <c r="DB81" s="399">
        <v>0</v>
      </c>
      <c r="DC81" s="399">
        <v>145.13845032269842</v>
      </c>
      <c r="DD81" s="399">
        <v>0</v>
      </c>
      <c r="DE81" s="399">
        <v>0</v>
      </c>
      <c r="DF81" s="399">
        <v>0</v>
      </c>
      <c r="DG81" s="399">
        <v>1.4819015633402159</v>
      </c>
      <c r="DH81" s="399">
        <v>0</v>
      </c>
      <c r="DI81" s="399">
        <v>0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0</v>
      </c>
      <c r="DP81" s="399">
        <v>-0.40988827927144467</v>
      </c>
      <c r="DQ81" s="399">
        <v>0</v>
      </c>
      <c r="DR81" s="399">
        <v>0</v>
      </c>
      <c r="DS81" s="399"/>
      <c r="DT81" s="399"/>
      <c r="DU81" s="399"/>
      <c r="DV81" s="399">
        <v>1350.0080261948317</v>
      </c>
      <c r="DW81" s="399">
        <v>0</v>
      </c>
      <c r="DX81" s="399">
        <v>0</v>
      </c>
      <c r="DY81" s="399">
        <v>-571.43339999999989</v>
      </c>
      <c r="DZ81" s="399">
        <v>145.14120000000003</v>
      </c>
      <c r="EA81" s="399">
        <v>0</v>
      </c>
      <c r="EB81" s="399">
        <v>0</v>
      </c>
      <c r="EC81" s="399">
        <v>-592.34613530713898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216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954</v>
      </c>
      <c r="C82" s="399" t="s">
        <v>2352</v>
      </c>
      <c r="D82" s="399" t="s">
        <v>1821</v>
      </c>
      <c r="E82" s="399" t="s">
        <v>887</v>
      </c>
      <c r="F82" s="399" t="s">
        <v>2357</v>
      </c>
      <c r="G82" s="399" t="s">
        <v>1237</v>
      </c>
      <c r="H82" s="399" t="s">
        <v>1237</v>
      </c>
      <c r="I82" s="399" t="s">
        <v>1237</v>
      </c>
      <c r="J82" s="399" t="s">
        <v>2353</v>
      </c>
      <c r="K82" s="789">
        <v>44501</v>
      </c>
      <c r="L82" s="399">
        <v>0</v>
      </c>
      <c r="M82" s="399">
        <v>0</v>
      </c>
      <c r="N82" s="399">
        <v>10.894</v>
      </c>
      <c r="O82" s="399">
        <v>10.894</v>
      </c>
      <c r="P82" s="399">
        <v>10.894</v>
      </c>
      <c r="Q82" s="399">
        <v>10.894</v>
      </c>
      <c r="R82" s="399"/>
      <c r="S82" s="399">
        <v>345.46</v>
      </c>
      <c r="T82" s="399">
        <v>215.17</v>
      </c>
      <c r="U82" s="399"/>
      <c r="V82" s="399">
        <v>6107.5032199999996</v>
      </c>
      <c r="W82" s="399">
        <v>6107.5032199999996</v>
      </c>
      <c r="X82" s="399">
        <v>5237.8351999999995</v>
      </c>
      <c r="Y82" s="399">
        <v>0</v>
      </c>
      <c r="Z82" s="399">
        <v>0</v>
      </c>
      <c r="AA82" s="399">
        <v>0</v>
      </c>
      <c r="AB82" s="399">
        <v>0</v>
      </c>
      <c r="AC82" s="399">
        <v>0</v>
      </c>
      <c r="AD82" s="399">
        <v>973.00390025115837</v>
      </c>
      <c r="AE82" s="399">
        <v>2754.1174976341758</v>
      </c>
      <c r="AF82" s="399">
        <v>2296.0405480472973</v>
      </c>
      <c r="AG82" s="399">
        <v>48.009579494637372</v>
      </c>
      <c r="AH82" s="399">
        <v>0</v>
      </c>
      <c r="AI82" s="399">
        <v>0</v>
      </c>
      <c r="AJ82" s="399">
        <v>0</v>
      </c>
      <c r="AK82" s="399">
        <v>0</v>
      </c>
      <c r="AL82" s="399">
        <v>0</v>
      </c>
      <c r="AM82" s="399"/>
      <c r="AN82" s="399">
        <v>12.826568134487427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23.443174913874849</v>
      </c>
      <c r="BH82" s="399">
        <v>0</v>
      </c>
      <c r="BI82" s="399">
        <v>0</v>
      </c>
      <c r="BJ82" s="399">
        <v>0</v>
      </c>
      <c r="BK82" s="399">
        <v>439.26</v>
      </c>
      <c r="BL82" s="399">
        <v>40</v>
      </c>
      <c r="BM82" s="399"/>
      <c r="BN82" s="399"/>
      <c r="BO82" s="399"/>
      <c r="BP82" s="399"/>
      <c r="BQ82" s="399"/>
      <c r="BR82" s="399"/>
      <c r="BS82" s="399"/>
      <c r="BT82" s="399">
        <v>2095.1340799999998</v>
      </c>
      <c r="BU82" s="399"/>
      <c r="BV82" s="399">
        <v>2319.4837229611721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3141.5472</v>
      </c>
      <c r="CJ82" s="399">
        <v>-522.89758000000074</v>
      </c>
      <c r="CK82" s="399"/>
      <c r="CL82" s="399"/>
      <c r="CM82" s="399"/>
      <c r="CN82" s="399"/>
      <c r="CO82" s="399">
        <v>-1165.76694</v>
      </c>
      <c r="CP82" s="399">
        <v>296.09892000000008</v>
      </c>
      <c r="CQ82" s="399">
        <v>30</v>
      </c>
      <c r="CR82" s="399">
        <v>338.77884326501498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40.498545412558087</v>
      </c>
      <c r="DA82" s="399">
        <v>0</v>
      </c>
      <c r="DB82" s="399">
        <v>0</v>
      </c>
      <c r="DC82" s="399">
        <v>296.09331045233603</v>
      </c>
      <c r="DD82" s="399">
        <v>0</v>
      </c>
      <c r="DE82" s="399">
        <v>0</v>
      </c>
      <c r="DF82" s="399">
        <v>0</v>
      </c>
      <c r="DG82" s="399">
        <v>3.0231901930764629</v>
      </c>
      <c r="DH82" s="399">
        <v>0</v>
      </c>
      <c r="DI82" s="399">
        <v>0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0</v>
      </c>
      <c r="DP82" s="399">
        <v>-0.83620279295563904</v>
      </c>
      <c r="DQ82" s="399">
        <v>0</v>
      </c>
      <c r="DR82" s="399">
        <v>0</v>
      </c>
      <c r="DS82" s="399"/>
      <c r="DT82" s="399"/>
      <c r="DU82" s="399"/>
      <c r="DV82" s="399">
        <v>2754.1174976341758</v>
      </c>
      <c r="DW82" s="399">
        <v>0</v>
      </c>
      <c r="DX82" s="399">
        <v>0</v>
      </c>
      <c r="DY82" s="399">
        <v>-1165.7669399999995</v>
      </c>
      <c r="DZ82" s="399">
        <v>296.09891999999991</v>
      </c>
      <c r="EA82" s="399">
        <v>0</v>
      </c>
      <c r="EB82" s="399">
        <v>0</v>
      </c>
      <c r="EC82" s="399">
        <v>-1208.4304865235906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216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954</v>
      </c>
      <c r="C83" s="399" t="s">
        <v>2352</v>
      </c>
      <c r="D83" s="399" t="s">
        <v>1821</v>
      </c>
      <c r="E83" s="399" t="s">
        <v>887</v>
      </c>
      <c r="F83" s="399" t="s">
        <v>2358</v>
      </c>
      <c r="G83" s="399" t="s">
        <v>1237</v>
      </c>
      <c r="H83" s="399" t="s">
        <v>1237</v>
      </c>
      <c r="I83" s="399" t="s">
        <v>1237</v>
      </c>
      <c r="J83" s="399" t="s">
        <v>2353</v>
      </c>
      <c r="K83" s="789">
        <v>44501</v>
      </c>
      <c r="L83" s="399">
        <v>0</v>
      </c>
      <c r="M83" s="399">
        <v>0</v>
      </c>
      <c r="N83" s="399">
        <v>9.7710000000000008</v>
      </c>
      <c r="O83" s="399">
        <v>9.7710000000000008</v>
      </c>
      <c r="P83" s="399">
        <v>9.7710000000000008</v>
      </c>
      <c r="Q83" s="399">
        <v>9.7710000000000008</v>
      </c>
      <c r="R83" s="399"/>
      <c r="S83" s="399">
        <v>345.46</v>
      </c>
      <c r="T83" s="399">
        <v>215.17</v>
      </c>
      <c r="U83" s="399"/>
      <c r="V83" s="399">
        <v>5477.9157300000006</v>
      </c>
      <c r="W83" s="399">
        <v>5477.9157300000006</v>
      </c>
      <c r="X83" s="399">
        <v>4697.8968000000004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872.70250682523124</v>
      </c>
      <c r="AE83" s="399">
        <v>2470.2113153463865</v>
      </c>
      <c r="AF83" s="399">
        <v>2059.3548921397228</v>
      </c>
      <c r="AG83" s="399">
        <v>43.060547204158418</v>
      </c>
      <c r="AH83" s="399">
        <v>0</v>
      </c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11.504350765749647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21.02655242183506</v>
      </c>
      <c r="BH83" s="399">
        <v>0</v>
      </c>
      <c r="BI83" s="399">
        <v>0</v>
      </c>
      <c r="BJ83" s="399">
        <v>0</v>
      </c>
      <c r="BK83" s="399">
        <v>1020.95</v>
      </c>
      <c r="BL83" s="399">
        <v>93</v>
      </c>
      <c r="BM83" s="399"/>
      <c r="BN83" s="399"/>
      <c r="BO83" s="399"/>
      <c r="BP83" s="399"/>
      <c r="BQ83" s="399"/>
      <c r="BR83" s="399"/>
      <c r="BS83" s="399"/>
      <c r="BT83" s="399">
        <v>469.88738999999975</v>
      </c>
      <c r="BU83" s="399"/>
      <c r="BV83" s="399">
        <v>2080.3814445615581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4227.5766999999996</v>
      </c>
      <c r="CJ83" s="399">
        <v>-702.50906000000214</v>
      </c>
      <c r="CK83" s="399"/>
      <c r="CL83" s="399"/>
      <c r="CM83" s="399"/>
      <c r="CN83" s="399"/>
      <c r="CO83" s="399">
        <v>-1045.5947100000001</v>
      </c>
      <c r="CP83" s="399">
        <v>265.57578000000007</v>
      </c>
      <c r="CQ83" s="399">
        <v>30</v>
      </c>
      <c r="CR83" s="399">
        <v>303.85607467803038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36.323782561603252</v>
      </c>
      <c r="DA83" s="399">
        <v>0</v>
      </c>
      <c r="DB83" s="399">
        <v>0</v>
      </c>
      <c r="DC83" s="399">
        <v>265.57074870844326</v>
      </c>
      <c r="DD83" s="399">
        <v>0</v>
      </c>
      <c r="DE83" s="399">
        <v>0</v>
      </c>
      <c r="DF83" s="399">
        <v>0</v>
      </c>
      <c r="DG83" s="399">
        <v>2.7115468493253303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0</v>
      </c>
      <c r="DP83" s="399">
        <v>-0.75000344134106278</v>
      </c>
      <c r="DQ83" s="399">
        <v>0</v>
      </c>
      <c r="DR83" s="399">
        <v>0</v>
      </c>
      <c r="DS83" s="399"/>
      <c r="DT83" s="399"/>
      <c r="DU83" s="399"/>
      <c r="DV83" s="399">
        <v>2470.2113153463865</v>
      </c>
      <c r="DW83" s="399">
        <v>0</v>
      </c>
      <c r="DX83" s="399">
        <v>0</v>
      </c>
      <c r="DY83" s="399">
        <v>-1045.5947100000003</v>
      </c>
      <c r="DZ83" s="399">
        <v>265.57578000000012</v>
      </c>
      <c r="EA83" s="399">
        <v>0</v>
      </c>
      <c r="EB83" s="399">
        <v>0</v>
      </c>
      <c r="EC83" s="399">
        <v>-1083.8603161209846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216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954</v>
      </c>
      <c r="C84" s="399" t="s">
        <v>2352</v>
      </c>
      <c r="D84" s="399" t="s">
        <v>1821</v>
      </c>
      <c r="E84" s="399" t="s">
        <v>887</v>
      </c>
      <c r="F84" s="399" t="s">
        <v>2359</v>
      </c>
      <c r="G84" s="399" t="s">
        <v>1237</v>
      </c>
      <c r="H84" s="399" t="s">
        <v>1237</v>
      </c>
      <c r="I84" s="399" t="s">
        <v>1237</v>
      </c>
      <c r="J84" s="399" t="s">
        <v>2353</v>
      </c>
      <c r="K84" s="789">
        <v>44501</v>
      </c>
      <c r="L84" s="399">
        <v>0</v>
      </c>
      <c r="M84" s="399">
        <v>0</v>
      </c>
      <c r="N84" s="399">
        <v>2.9319999999999999</v>
      </c>
      <c r="O84" s="399">
        <v>2.9319999999999999</v>
      </c>
      <c r="P84" s="399">
        <v>2.9319999999999999</v>
      </c>
      <c r="Q84" s="399">
        <v>2.9319999999999999</v>
      </c>
      <c r="R84" s="399"/>
      <c r="S84" s="399">
        <v>345.46</v>
      </c>
      <c r="T84" s="399">
        <v>215.17</v>
      </c>
      <c r="U84" s="399"/>
      <c r="V84" s="399">
        <v>1643.7671599999999</v>
      </c>
      <c r="W84" s="399">
        <v>1643.7671599999999</v>
      </c>
      <c r="X84" s="399">
        <v>1409.7056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261.87327295175288</v>
      </c>
      <c r="AE84" s="399">
        <v>741.24036194817359</v>
      </c>
      <c r="AF84" s="399">
        <v>617.95400099822609</v>
      </c>
      <c r="AG84" s="399">
        <v>12.921249043352008</v>
      </c>
      <c r="AH84" s="399">
        <v>0</v>
      </c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3.4521294079600819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6.3094720807307736</v>
      </c>
      <c r="BH84" s="399">
        <v>0</v>
      </c>
      <c r="BI84" s="399">
        <v>0</v>
      </c>
      <c r="BJ84" s="399">
        <v>0</v>
      </c>
      <c r="BK84" s="399">
        <v>570.70000000000005</v>
      </c>
      <c r="BL84" s="399">
        <v>36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624.26347307895685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1408.7440000000001</v>
      </c>
      <c r="CJ84" s="399">
        <v>-235.05315999999971</v>
      </c>
      <c r="CK84" s="399"/>
      <c r="CL84" s="399"/>
      <c r="CM84" s="399"/>
      <c r="CN84" s="399"/>
      <c r="CO84" s="399">
        <v>-313.75331999999997</v>
      </c>
      <c r="CP84" s="399">
        <v>79.691760000000016</v>
      </c>
      <c r="CQ84" s="399">
        <v>30</v>
      </c>
      <c r="CR84" s="399">
        <v>91.178590825502511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10.899737024933074</v>
      </c>
      <c r="DA84" s="399">
        <v>0</v>
      </c>
      <c r="DB84" s="399">
        <v>0</v>
      </c>
      <c r="DC84" s="399">
        <v>79.690250252088276</v>
      </c>
      <c r="DD84" s="399">
        <v>0</v>
      </c>
      <c r="DE84" s="399">
        <v>0</v>
      </c>
      <c r="DF84" s="399">
        <v>0</v>
      </c>
      <c r="DG84" s="399">
        <v>0.81365831155683832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0</v>
      </c>
      <c r="DP84" s="399">
        <v>-0.22505476307563166</v>
      </c>
      <c r="DQ84" s="399">
        <v>0</v>
      </c>
      <c r="DR84" s="399">
        <v>0</v>
      </c>
      <c r="DS84" s="399"/>
      <c r="DT84" s="399"/>
      <c r="DU84" s="399"/>
      <c r="DV84" s="399">
        <v>741.24036194817359</v>
      </c>
      <c r="DW84" s="399">
        <v>0</v>
      </c>
      <c r="DX84" s="399">
        <v>0</v>
      </c>
      <c r="DY84" s="399">
        <v>-313.75331999999992</v>
      </c>
      <c r="DZ84" s="399">
        <v>79.691760000000045</v>
      </c>
      <c r="EA84" s="399">
        <v>0</v>
      </c>
      <c r="EB84" s="399">
        <v>0</v>
      </c>
      <c r="EC84" s="399">
        <v>-325.23574320609208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216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954</v>
      </c>
      <c r="C85" s="399" t="s">
        <v>2352</v>
      </c>
      <c r="D85" s="399" t="s">
        <v>1824</v>
      </c>
      <c r="E85" s="399" t="s">
        <v>888</v>
      </c>
      <c r="F85" s="399" t="s">
        <v>1237</v>
      </c>
      <c r="G85" s="399" t="s">
        <v>1237</v>
      </c>
      <c r="H85" s="399" t="s">
        <v>1237</v>
      </c>
      <c r="I85" s="399" t="s">
        <v>1237</v>
      </c>
      <c r="J85" s="399" t="s">
        <v>2353</v>
      </c>
      <c r="K85" s="789">
        <v>44501</v>
      </c>
      <c r="L85" s="399">
        <v>0</v>
      </c>
      <c r="M85" s="399">
        <v>0</v>
      </c>
      <c r="N85" s="399">
        <v>24.670999999999999</v>
      </c>
      <c r="O85" s="399">
        <v>24.670999999999999</v>
      </c>
      <c r="P85" s="399">
        <v>24.670999999999999</v>
      </c>
      <c r="Q85" s="399">
        <v>24.670999999999999</v>
      </c>
      <c r="R85" s="399"/>
      <c r="S85" s="399">
        <v>415.98</v>
      </c>
      <c r="T85" s="399">
        <v>215.17</v>
      </c>
      <c r="U85" s="399"/>
      <c r="V85" s="399">
        <v>15571.101650000001</v>
      </c>
      <c r="W85" s="399">
        <v>15571.101650000001</v>
      </c>
      <c r="X85" s="399">
        <v>13533.030339999999</v>
      </c>
      <c r="Y85" s="399">
        <v>0</v>
      </c>
      <c r="Z85" s="399">
        <v>1507.0674615816924</v>
      </c>
      <c r="AA85" s="399">
        <v>0</v>
      </c>
      <c r="AB85" s="399">
        <v>0</v>
      </c>
      <c r="AC85" s="399">
        <v>0</v>
      </c>
      <c r="AD85" s="399">
        <v>2203.5046101612197</v>
      </c>
      <c r="AE85" s="399">
        <v>6237.0876431184824</v>
      </c>
      <c r="AF85" s="399">
        <v>5199.7077621511717</v>
      </c>
      <c r="AG85" s="399">
        <v>108.72446628531287</v>
      </c>
      <c r="AH85" s="399">
        <v>0</v>
      </c>
      <c r="AI85" s="399">
        <v>0</v>
      </c>
      <c r="AJ85" s="399">
        <v>0</v>
      </c>
      <c r="AK85" s="399">
        <v>0</v>
      </c>
      <c r="AL85" s="399">
        <v>232.88058108317659</v>
      </c>
      <c r="AM85" s="399"/>
      <c r="AN85" s="399">
        <v>29.047573200471756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53.090377115862523</v>
      </c>
      <c r="BH85" s="399">
        <v>0</v>
      </c>
      <c r="BI85" s="399">
        <v>0</v>
      </c>
      <c r="BJ85" s="399">
        <v>0</v>
      </c>
      <c r="BK85" s="399">
        <v>5678.4</v>
      </c>
      <c r="BL85" s="399">
        <v>37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5252.7981392670345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13532.481800000001</v>
      </c>
      <c r="CJ85" s="399">
        <v>-2038.6498499999998</v>
      </c>
      <c r="CK85" s="399"/>
      <c r="CL85" s="399"/>
      <c r="CM85" s="399"/>
      <c r="CN85" s="399"/>
      <c r="CO85" s="399">
        <v>-2708.6290900000004</v>
      </c>
      <c r="CP85" s="399">
        <v>670.55778000000021</v>
      </c>
      <c r="CQ85" s="399">
        <v>30</v>
      </c>
      <c r="CR85" s="399">
        <v>698.532072338332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91.714669898404736</v>
      </c>
      <c r="DA85" s="399">
        <v>0</v>
      </c>
      <c r="DB85" s="399">
        <v>0</v>
      </c>
      <c r="DC85" s="399">
        <v>670.54507638788255</v>
      </c>
      <c r="DD85" s="399">
        <v>0</v>
      </c>
      <c r="DE85" s="399">
        <v>0</v>
      </c>
      <c r="DF85" s="399">
        <v>0</v>
      </c>
      <c r="DG85" s="399">
        <v>6.8464407245630099</v>
      </c>
      <c r="DH85" s="399">
        <v>0</v>
      </c>
      <c r="DI85" s="399">
        <v>-61.275851974364059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-7.4045634962980671</v>
      </c>
      <c r="DP85" s="399">
        <v>-1.8936992018550178</v>
      </c>
      <c r="DQ85" s="399">
        <v>0</v>
      </c>
      <c r="DR85" s="399">
        <v>0</v>
      </c>
      <c r="DS85" s="399"/>
      <c r="DT85" s="399"/>
      <c r="DU85" s="399"/>
      <c r="DV85" s="399">
        <v>6237.0876431184824</v>
      </c>
      <c r="DW85" s="399">
        <v>0</v>
      </c>
      <c r="DX85" s="399">
        <v>0</v>
      </c>
      <c r="DY85" s="399">
        <v>-2708.6290900000004</v>
      </c>
      <c r="DZ85" s="399">
        <v>670.55778000000009</v>
      </c>
      <c r="EA85" s="399">
        <v>0</v>
      </c>
      <c r="EB85" s="399">
        <v>0</v>
      </c>
      <c r="EC85" s="399">
        <v>-2736.6613303674962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216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2355</v>
      </c>
      <c r="C86" s="399" t="s">
        <v>2352</v>
      </c>
      <c r="D86" s="399" t="s">
        <v>1824</v>
      </c>
      <c r="E86" s="399" t="s">
        <v>888</v>
      </c>
      <c r="F86" s="399" t="s">
        <v>1237</v>
      </c>
      <c r="G86" s="399" t="s">
        <v>1237</v>
      </c>
      <c r="H86" s="399" t="s">
        <v>1237</v>
      </c>
      <c r="I86" s="399" t="s">
        <v>1237</v>
      </c>
      <c r="J86" s="399" t="s">
        <v>2353</v>
      </c>
      <c r="K86" s="789">
        <v>44501</v>
      </c>
      <c r="L86" s="399">
        <v>0</v>
      </c>
      <c r="M86" s="399">
        <v>0</v>
      </c>
      <c r="N86" s="399">
        <v>9.93</v>
      </c>
      <c r="O86" s="399">
        <v>9.93</v>
      </c>
      <c r="P86" s="399">
        <v>9.93</v>
      </c>
      <c r="Q86" s="399">
        <v>9.93</v>
      </c>
      <c r="R86" s="399"/>
      <c r="S86" s="399">
        <v>415.98</v>
      </c>
      <c r="T86" s="399">
        <v>215.17</v>
      </c>
      <c r="U86" s="399"/>
      <c r="V86" s="399">
        <v>6267.3194999999996</v>
      </c>
      <c r="W86" s="399">
        <v>6267.3194999999996</v>
      </c>
      <c r="X86" s="399">
        <v>5447.0021999999999</v>
      </c>
      <c r="Y86" s="399">
        <v>0</v>
      </c>
      <c r="Z86" s="399">
        <v>606.58991907527889</v>
      </c>
      <c r="AA86" s="399">
        <v>0</v>
      </c>
      <c r="AB86" s="399">
        <v>0</v>
      </c>
      <c r="AC86" s="399">
        <v>0</v>
      </c>
      <c r="AD86" s="399">
        <v>886.90368363264201</v>
      </c>
      <c r="AE86" s="399">
        <v>2510.4081835420748</v>
      </c>
      <c r="AF86" s="399">
        <v>2092.8660402156838</v>
      </c>
      <c r="AG86" s="399">
        <v>43.76125613931972</v>
      </c>
      <c r="AH86" s="399">
        <v>0</v>
      </c>
      <c r="AI86" s="399">
        <v>0</v>
      </c>
      <c r="AJ86" s="399">
        <v>0</v>
      </c>
      <c r="AK86" s="399">
        <v>0</v>
      </c>
      <c r="AL86" s="399">
        <v>93.733702328885883</v>
      </c>
      <c r="AM86" s="399"/>
      <c r="AN86" s="399">
        <v>11.691556964885271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21.368710014207565</v>
      </c>
      <c r="BH86" s="399">
        <v>0</v>
      </c>
      <c r="BI86" s="399">
        <v>0</v>
      </c>
      <c r="BJ86" s="399">
        <v>0</v>
      </c>
      <c r="BK86" s="399">
        <v>3305.05</v>
      </c>
      <c r="BL86" s="399">
        <v>4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>
        <v>2114.2347502298912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5447.0021999999999</v>
      </c>
      <c r="CJ86" s="399">
        <v>-820.34730000000036</v>
      </c>
      <c r="CK86" s="399"/>
      <c r="CL86" s="399"/>
      <c r="CM86" s="399"/>
      <c r="CN86" s="399"/>
      <c r="CO86" s="399">
        <v>-1090.2147000000002</v>
      </c>
      <c r="CP86" s="399">
        <v>269.89740000000006</v>
      </c>
      <c r="CQ86" s="399">
        <v>30</v>
      </c>
      <c r="CR86" s="399">
        <v>281.15696478941436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36.914866527143545</v>
      </c>
      <c r="DA86" s="399">
        <v>0</v>
      </c>
      <c r="DB86" s="399">
        <v>0</v>
      </c>
      <c r="DC86" s="399">
        <v>269.89228683602869</v>
      </c>
      <c r="DD86" s="399">
        <v>0</v>
      </c>
      <c r="DE86" s="399">
        <v>0</v>
      </c>
      <c r="DF86" s="399">
        <v>0</v>
      </c>
      <c r="DG86" s="399">
        <v>2.7556708846382669</v>
      </c>
      <c r="DH86" s="399">
        <v>0</v>
      </c>
      <c r="DI86" s="399">
        <v>-24.663337931394608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-2.9803135470082225</v>
      </c>
      <c r="DP86" s="399">
        <v>-0.76220797999352641</v>
      </c>
      <c r="DQ86" s="399">
        <v>0</v>
      </c>
      <c r="DR86" s="399">
        <v>0</v>
      </c>
      <c r="DS86" s="399"/>
      <c r="DT86" s="399"/>
      <c r="DU86" s="399"/>
      <c r="DV86" s="399">
        <v>2510.4081835420748</v>
      </c>
      <c r="DW86" s="399">
        <v>0</v>
      </c>
      <c r="DX86" s="399">
        <v>0</v>
      </c>
      <c r="DY86" s="399">
        <v>-1090.2147000000004</v>
      </c>
      <c r="DZ86" s="399">
        <v>269.89740000000029</v>
      </c>
      <c r="EA86" s="399">
        <v>0</v>
      </c>
      <c r="EB86" s="399">
        <v>0</v>
      </c>
      <c r="EC86" s="399">
        <v>-1101.4975886891182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216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954</v>
      </c>
      <c r="C87" s="399" t="s">
        <v>2360</v>
      </c>
      <c r="D87" s="399" t="s">
        <v>533</v>
      </c>
      <c r="E87" s="399" t="s">
        <v>888</v>
      </c>
      <c r="F87" s="399" t="s">
        <v>1237</v>
      </c>
      <c r="G87" s="399" t="s">
        <v>1237</v>
      </c>
      <c r="H87" s="399" t="s">
        <v>1237</v>
      </c>
      <c r="I87" s="399" t="s">
        <v>891</v>
      </c>
      <c r="J87" s="399" t="s">
        <v>2353</v>
      </c>
      <c r="K87" s="789">
        <v>44501</v>
      </c>
      <c r="L87" s="399">
        <v>0</v>
      </c>
      <c r="M87" s="399">
        <v>0</v>
      </c>
      <c r="N87" s="399">
        <v>118.11499999999999</v>
      </c>
      <c r="O87" s="399">
        <v>118.11499999999999</v>
      </c>
      <c r="P87" s="399">
        <v>118.11499999999999</v>
      </c>
      <c r="Q87" s="399">
        <v>118.11499999999999</v>
      </c>
      <c r="R87" s="399"/>
      <c r="S87" s="399">
        <v>2184.0300000000002</v>
      </c>
      <c r="T87" s="399">
        <v>215.17</v>
      </c>
      <c r="U87" s="399"/>
      <c r="V87" s="399">
        <v>283381.50799999997</v>
      </c>
      <c r="W87" s="399">
        <v>283381.50799999997</v>
      </c>
      <c r="X87" s="399">
        <v>213834.21484999999</v>
      </c>
      <c r="Y87" s="399">
        <v>0</v>
      </c>
      <c r="Z87" s="399">
        <v>6277.2618744885731</v>
      </c>
      <c r="AA87" s="399">
        <v>0</v>
      </c>
      <c r="AB87" s="399">
        <v>0</v>
      </c>
      <c r="AC87" s="399">
        <v>0</v>
      </c>
      <c r="AD87" s="399">
        <v>77837.107746678361</v>
      </c>
      <c r="AE87" s="399">
        <v>172557.51970623998</v>
      </c>
      <c r="AF87" s="399">
        <v>24894.146257812234</v>
      </c>
      <c r="AG87" s="399">
        <v>520.52978538728587</v>
      </c>
      <c r="AH87" s="399">
        <v>0</v>
      </c>
      <c r="AI87" s="399">
        <v>0</v>
      </c>
      <c r="AJ87" s="399">
        <v>0</v>
      </c>
      <c r="AK87" s="399">
        <v>0</v>
      </c>
      <c r="AL87" s="399">
        <v>1114.9402065031577</v>
      </c>
      <c r="AM87" s="399"/>
      <c r="AN87" s="399">
        <v>81.484307596470529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98.135975229615724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24992.282233041849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213843.26680000001</v>
      </c>
      <c r="CJ87" s="399">
        <v>-69538.271199999988</v>
      </c>
      <c r="CK87" s="399"/>
      <c r="CL87" s="399"/>
      <c r="CM87" s="399"/>
      <c r="CN87" s="399"/>
      <c r="CO87" s="399">
        <v>-72757.658850000022</v>
      </c>
      <c r="CP87" s="399">
        <v>3210.3657000000007</v>
      </c>
      <c r="CQ87" s="399">
        <v>30</v>
      </c>
      <c r="CR87" s="399">
        <v>6166.7210782650363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3239.7502641534375</v>
      </c>
      <c r="DA87" s="399">
        <v>0</v>
      </c>
      <c r="DB87" s="399">
        <v>0</v>
      </c>
      <c r="DC87" s="399">
        <v>3210.3048801246296</v>
      </c>
      <c r="DD87" s="399">
        <v>0</v>
      </c>
      <c r="DE87" s="399">
        <v>0</v>
      </c>
      <c r="DF87" s="399">
        <v>0</v>
      </c>
      <c r="DG87" s="399">
        <v>12.65544103954025</v>
      </c>
      <c r="DH87" s="399">
        <v>0</v>
      </c>
      <c r="DI87" s="399">
        <v>-255.22717411851954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-35.450124330803192</v>
      </c>
      <c r="DP87" s="399">
        <v>-5.3122086032525573</v>
      </c>
      <c r="DQ87" s="399">
        <v>0</v>
      </c>
      <c r="DR87" s="399">
        <v>0</v>
      </c>
      <c r="DS87" s="399"/>
      <c r="DT87" s="399"/>
      <c r="DU87" s="399"/>
      <c r="DV87" s="399">
        <v>172557.51970623998</v>
      </c>
      <c r="DW87" s="399">
        <v>0</v>
      </c>
      <c r="DX87" s="399">
        <v>0</v>
      </c>
      <c r="DY87" s="399">
        <v>-72757.658850000007</v>
      </c>
      <c r="DZ87" s="399">
        <v>3210.3657000000021</v>
      </c>
      <c r="EA87" s="399">
        <v>0</v>
      </c>
      <c r="EB87" s="399">
        <v>0</v>
      </c>
      <c r="EC87" s="399">
        <v>-75713.460907546731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216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954</v>
      </c>
      <c r="C88" s="399" t="s">
        <v>2360</v>
      </c>
      <c r="D88" s="399" t="s">
        <v>533</v>
      </c>
      <c r="E88" s="399" t="s">
        <v>888</v>
      </c>
      <c r="F88" s="399" t="s">
        <v>1237</v>
      </c>
      <c r="G88" s="399" t="s">
        <v>1237</v>
      </c>
      <c r="H88" s="399" t="s">
        <v>1237</v>
      </c>
      <c r="I88" s="399" t="s">
        <v>2327</v>
      </c>
      <c r="J88" s="399" t="s">
        <v>2353</v>
      </c>
      <c r="K88" s="789">
        <v>44501</v>
      </c>
      <c r="L88" s="399">
        <v>0</v>
      </c>
      <c r="M88" s="399">
        <v>0</v>
      </c>
      <c r="N88" s="399">
        <v>1523.521</v>
      </c>
      <c r="O88" s="399">
        <v>1523.521</v>
      </c>
      <c r="P88" s="399">
        <v>1523.521</v>
      </c>
      <c r="Q88" s="399">
        <v>1523.521</v>
      </c>
      <c r="R88" s="399"/>
      <c r="S88" s="399">
        <v>64.11</v>
      </c>
      <c r="T88" s="399">
        <v>215.17</v>
      </c>
      <c r="U88" s="399"/>
      <c r="V88" s="399">
        <v>425488.94487999997</v>
      </c>
      <c r="W88" s="399">
        <v>425488.94487999997</v>
      </c>
      <c r="X88" s="399">
        <v>463241.79525999998</v>
      </c>
      <c r="Y88" s="399">
        <v>0</v>
      </c>
      <c r="Z88" s="399">
        <v>80968.042063097033</v>
      </c>
      <c r="AA88" s="399">
        <v>0</v>
      </c>
      <c r="AB88" s="399">
        <v>0</v>
      </c>
      <c r="AC88" s="399">
        <v>0</v>
      </c>
      <c r="AD88" s="399">
        <v>0</v>
      </c>
      <c r="AE88" s="399">
        <v>0</v>
      </c>
      <c r="AF88" s="399">
        <v>321100.23791092035</v>
      </c>
      <c r="AG88" s="399">
        <v>6714.1180981503048</v>
      </c>
      <c r="AH88" s="399">
        <v>0</v>
      </c>
      <c r="AI88" s="399">
        <v>0</v>
      </c>
      <c r="AJ88" s="399">
        <v>0</v>
      </c>
      <c r="AK88" s="399">
        <v>0</v>
      </c>
      <c r="AL88" s="399">
        <v>14381.194753857657</v>
      </c>
      <c r="AM88" s="399"/>
      <c r="AN88" s="399">
        <v>1051.0354636894754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1265.8190671616592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322366.05697808199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463241.49119999999</v>
      </c>
      <c r="CJ88" s="399">
        <v>37752.516320000053</v>
      </c>
      <c r="CK88" s="399"/>
      <c r="CL88" s="399"/>
      <c r="CM88" s="399"/>
      <c r="CN88" s="399"/>
      <c r="CO88" s="399">
        <v>-3656.4503999999979</v>
      </c>
      <c r="CP88" s="399">
        <v>41409.300780000012</v>
      </c>
      <c r="CQ88" s="399">
        <v>30</v>
      </c>
      <c r="CR88" s="399">
        <v>37753.896640444524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0</v>
      </c>
      <c r="DA88" s="399">
        <v>0</v>
      </c>
      <c r="DB88" s="399">
        <v>0</v>
      </c>
      <c r="DC88" s="399">
        <v>41408.516287282284</v>
      </c>
      <c r="DD88" s="399">
        <v>0</v>
      </c>
      <c r="DE88" s="399">
        <v>0</v>
      </c>
      <c r="DF88" s="399">
        <v>0</v>
      </c>
      <c r="DG88" s="399">
        <v>163.2377783346858</v>
      </c>
      <c r="DH88" s="399">
        <v>0</v>
      </c>
      <c r="DI88" s="399">
        <v>-3292.0794102376676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-457.25783237175165</v>
      </c>
      <c r="DP88" s="399">
        <v>-68.520182563060871</v>
      </c>
      <c r="DQ88" s="399">
        <v>0</v>
      </c>
      <c r="DR88" s="399">
        <v>0</v>
      </c>
      <c r="DS88" s="399"/>
      <c r="DT88" s="399"/>
      <c r="DU88" s="399"/>
      <c r="DV88" s="399">
        <v>0</v>
      </c>
      <c r="DW88" s="399">
        <v>0</v>
      </c>
      <c r="DX88" s="399">
        <v>0</v>
      </c>
      <c r="DY88" s="399">
        <v>-3656.4504000000015</v>
      </c>
      <c r="DZ88" s="399">
        <v>41409.300780000049</v>
      </c>
      <c r="EA88" s="399">
        <v>0</v>
      </c>
      <c r="EB88" s="399">
        <v>0</v>
      </c>
      <c r="EC88" s="399">
        <v>0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216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954</v>
      </c>
      <c r="C89" s="399" t="s">
        <v>2360</v>
      </c>
      <c r="D89" s="399" t="s">
        <v>533</v>
      </c>
      <c r="E89" s="399" t="s">
        <v>888</v>
      </c>
      <c r="F89" s="399" t="s">
        <v>1237</v>
      </c>
      <c r="G89" s="399" t="s">
        <v>1237</v>
      </c>
      <c r="H89" s="399" t="s">
        <v>1237</v>
      </c>
      <c r="I89" s="399" t="s">
        <v>1237</v>
      </c>
      <c r="J89" s="399" t="s">
        <v>2353</v>
      </c>
      <c r="K89" s="789">
        <v>44501</v>
      </c>
      <c r="L89" s="399">
        <v>5399</v>
      </c>
      <c r="M89" s="399">
        <v>5399</v>
      </c>
      <c r="N89" s="399">
        <v>0</v>
      </c>
      <c r="O89" s="399">
        <v>0</v>
      </c>
      <c r="P89" s="399">
        <v>0</v>
      </c>
      <c r="Q89" s="399">
        <v>0</v>
      </c>
      <c r="R89" s="399">
        <v>28.04</v>
      </c>
      <c r="S89" s="399"/>
      <c r="T89" s="399"/>
      <c r="U89" s="399">
        <v>151387.96</v>
      </c>
      <c r="V89" s="399"/>
      <c r="W89" s="399">
        <v>151387.96</v>
      </c>
      <c r="X89" s="399">
        <v>113702.93999999999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59770.587252928715</v>
      </c>
      <c r="AE89" s="399">
        <v>91644.245161646279</v>
      </c>
      <c r="AF89" s="399"/>
      <c r="AG89" s="399"/>
      <c r="AH89" s="399"/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0</v>
      </c>
      <c r="AO89" s="399">
        <v>0</v>
      </c>
      <c r="AP89" s="399">
        <v>0</v>
      </c>
      <c r="AQ89" s="399">
        <v>0</v>
      </c>
      <c r="AR89" s="399">
        <v>0</v>
      </c>
      <c r="AS89" s="399"/>
      <c r="AT89" s="399"/>
      <c r="AU89" s="399">
        <v>0</v>
      </c>
      <c r="AV89" s="399">
        <v>0</v>
      </c>
      <c r="AW89" s="399">
        <v>0</v>
      </c>
      <c r="AX89" s="399"/>
      <c r="AY89" s="399"/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/>
      <c r="BG89" s="399">
        <v>0</v>
      </c>
      <c r="BH89" s="399">
        <v>0</v>
      </c>
      <c r="BI89" s="399">
        <v>0</v>
      </c>
      <c r="BJ89" s="399">
        <v>0</v>
      </c>
      <c r="BK89" s="399">
        <v>314636.40000000002</v>
      </c>
      <c r="BL89" s="399">
        <v>14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0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113702.93999999999</v>
      </c>
      <c r="CJ89" s="399">
        <v>-37685.050000000032</v>
      </c>
      <c r="CK89" s="399"/>
      <c r="CL89" s="399"/>
      <c r="CM89" s="399"/>
      <c r="CN89" s="399"/>
      <c r="CO89" s="399">
        <v>-37685.020000000004</v>
      </c>
      <c r="CP89" s="399">
        <v>0</v>
      </c>
      <c r="CQ89" s="399">
        <v>30</v>
      </c>
      <c r="CR89" s="399">
        <v>2487.782260248794</v>
      </c>
      <c r="CS89" s="399">
        <v>0</v>
      </c>
      <c r="CT89" s="399">
        <v>0</v>
      </c>
      <c r="CU89" s="399">
        <v>0</v>
      </c>
      <c r="CV89" s="399">
        <v>0</v>
      </c>
      <c r="CW89" s="399"/>
      <c r="CX89" s="399"/>
      <c r="CY89" s="399"/>
      <c r="CZ89" s="399">
        <v>2487.782260248794</v>
      </c>
      <c r="DA89" s="399">
        <v>0</v>
      </c>
      <c r="DB89" s="399">
        <v>0</v>
      </c>
      <c r="DC89" s="399"/>
      <c r="DD89" s="399"/>
      <c r="DE89" s="399">
        <v>0</v>
      </c>
      <c r="DF89" s="399">
        <v>0</v>
      </c>
      <c r="DG89" s="399">
        <v>0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/>
      <c r="DN89" s="399">
        <v>0</v>
      </c>
      <c r="DO89" s="399">
        <v>0</v>
      </c>
      <c r="DP89" s="399">
        <v>0</v>
      </c>
      <c r="DQ89" s="399">
        <v>0</v>
      </c>
      <c r="DR89" s="399">
        <v>0</v>
      </c>
      <c r="DS89" s="399"/>
      <c r="DT89" s="399"/>
      <c r="DU89" s="399">
        <v>91644.245161646279</v>
      </c>
      <c r="DV89" s="399"/>
      <c r="DW89" s="399">
        <v>0</v>
      </c>
      <c r="DX89" s="399">
        <v>0</v>
      </c>
      <c r="DY89" s="399">
        <v>-37685.020000000004</v>
      </c>
      <c r="DZ89" s="399"/>
      <c r="EA89" s="399">
        <v>0</v>
      </c>
      <c r="EB89" s="399"/>
      <c r="EC89" s="399">
        <v>-40210.956817531383</v>
      </c>
      <c r="ED89" s="399"/>
      <c r="EE89" s="399">
        <v>0</v>
      </c>
      <c r="EF89" s="399">
        <v>0</v>
      </c>
      <c r="EG89" s="399"/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/>
      <c r="EN89" s="399"/>
      <c r="EO89" s="399">
        <v>0</v>
      </c>
      <c r="EP89" s="399">
        <v>0</v>
      </c>
      <c r="EQ89" s="399"/>
      <c r="ER89" s="399">
        <v>0</v>
      </c>
      <c r="ES89" s="399"/>
      <c r="ET89" s="399">
        <v>0</v>
      </c>
      <c r="EU89" s="399"/>
      <c r="EV89" s="399">
        <v>216</v>
      </c>
      <c r="EW89" s="399"/>
      <c r="EX89" s="399"/>
      <c r="EY89" s="399"/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954</v>
      </c>
      <c r="C90" s="399" t="s">
        <v>2352</v>
      </c>
      <c r="D90" s="399" t="s">
        <v>1824</v>
      </c>
      <c r="E90" s="399" t="s">
        <v>916</v>
      </c>
      <c r="F90" s="399" t="s">
        <v>1237</v>
      </c>
      <c r="G90" s="399" t="s">
        <v>1237</v>
      </c>
      <c r="H90" s="399" t="s">
        <v>1237</v>
      </c>
      <c r="I90" s="399" t="s">
        <v>1237</v>
      </c>
      <c r="J90" s="399" t="s">
        <v>2353</v>
      </c>
      <c r="K90" s="789">
        <v>44501</v>
      </c>
      <c r="L90" s="399">
        <v>0</v>
      </c>
      <c r="M90" s="399">
        <v>0</v>
      </c>
      <c r="N90" s="399">
        <v>178.25899999999999</v>
      </c>
      <c r="O90" s="399">
        <v>178.25899999999999</v>
      </c>
      <c r="P90" s="399">
        <v>178.25899999999999</v>
      </c>
      <c r="Q90" s="399">
        <v>178.25899999999999</v>
      </c>
      <c r="R90" s="399"/>
      <c r="S90" s="399">
        <v>415.98</v>
      </c>
      <c r="T90" s="399">
        <v>215.17</v>
      </c>
      <c r="U90" s="399"/>
      <c r="V90" s="399">
        <v>112508.16785</v>
      </c>
      <c r="W90" s="399">
        <v>112508.16785</v>
      </c>
      <c r="X90" s="399">
        <v>97782.191859999992</v>
      </c>
      <c r="Y90" s="399">
        <v>0</v>
      </c>
      <c r="Z90" s="399">
        <v>10889.235889671716</v>
      </c>
      <c r="AA90" s="399">
        <v>0</v>
      </c>
      <c r="AB90" s="399">
        <v>0</v>
      </c>
      <c r="AC90" s="399">
        <v>0</v>
      </c>
      <c r="AD90" s="399">
        <v>15921.305512655703</v>
      </c>
      <c r="AE90" s="399">
        <v>45065.745457203091</v>
      </c>
      <c r="AF90" s="399">
        <v>37570.212231904086</v>
      </c>
      <c r="AG90" s="399">
        <v>785.58285580453116</v>
      </c>
      <c r="AH90" s="399">
        <v>0</v>
      </c>
      <c r="AI90" s="399">
        <v>0</v>
      </c>
      <c r="AJ90" s="399">
        <v>0</v>
      </c>
      <c r="AK90" s="399">
        <v>0</v>
      </c>
      <c r="AL90" s="399">
        <v>1682.666268222041</v>
      </c>
      <c r="AM90" s="399"/>
      <c r="AN90" s="399">
        <v>209.88169718061263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383.60169974044572</v>
      </c>
      <c r="BH90" s="399">
        <v>0</v>
      </c>
      <c r="BI90" s="399">
        <v>0</v>
      </c>
      <c r="BJ90" s="399">
        <v>0</v>
      </c>
      <c r="BK90" s="399">
        <v>40619.29</v>
      </c>
      <c r="BL90" s="399">
        <v>444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37953.81393164453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97782.740399999981</v>
      </c>
      <c r="CJ90" s="399">
        <v>-14725.457450000002</v>
      </c>
      <c r="CK90" s="399"/>
      <c r="CL90" s="399"/>
      <c r="CM90" s="399"/>
      <c r="CN90" s="399"/>
      <c r="CO90" s="399">
        <v>-19571.055610000003</v>
      </c>
      <c r="CP90" s="399">
        <v>4845.0796200000004</v>
      </c>
      <c r="CQ90" s="399">
        <v>30</v>
      </c>
      <c r="CR90" s="399">
        <v>5047.2063833229186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662.67947555509272</v>
      </c>
      <c r="DA90" s="399">
        <v>0</v>
      </c>
      <c r="DB90" s="399">
        <v>0</v>
      </c>
      <c r="DC90" s="399">
        <v>4844.9878307254403</v>
      </c>
      <c r="DD90" s="399">
        <v>0</v>
      </c>
      <c r="DE90" s="399">
        <v>0</v>
      </c>
      <c r="DF90" s="399">
        <v>0</v>
      </c>
      <c r="DG90" s="399">
        <v>49.468593778925765</v>
      </c>
      <c r="DH90" s="399">
        <v>0</v>
      </c>
      <c r="DI90" s="399">
        <v>-442.7454135259286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-53.50128021914793</v>
      </c>
      <c r="DP90" s="399">
        <v>-13.68282299150718</v>
      </c>
      <c r="DQ90" s="399">
        <v>0</v>
      </c>
      <c r="DR90" s="399">
        <v>0</v>
      </c>
      <c r="DS90" s="399"/>
      <c r="DT90" s="399"/>
      <c r="DU90" s="399"/>
      <c r="DV90" s="399">
        <v>45065.745457203091</v>
      </c>
      <c r="DW90" s="399">
        <v>0</v>
      </c>
      <c r="DX90" s="399">
        <v>0</v>
      </c>
      <c r="DY90" s="399">
        <v>-19571.055610000003</v>
      </c>
      <c r="DZ90" s="399">
        <v>4845.0796199999968</v>
      </c>
      <c r="EA90" s="399">
        <v>0</v>
      </c>
      <c r="EB90" s="399">
        <v>0</v>
      </c>
      <c r="EC90" s="399">
        <v>-19773.601073729456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216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2355</v>
      </c>
      <c r="C91" s="399" t="s">
        <v>2352</v>
      </c>
      <c r="D91" s="399" t="s">
        <v>1824</v>
      </c>
      <c r="E91" s="399" t="s">
        <v>916</v>
      </c>
      <c r="F91" s="399" t="s">
        <v>1237</v>
      </c>
      <c r="G91" s="399" t="s">
        <v>1237</v>
      </c>
      <c r="H91" s="399" t="s">
        <v>1237</v>
      </c>
      <c r="I91" s="399" t="s">
        <v>1237</v>
      </c>
      <c r="J91" s="399" t="s">
        <v>2353</v>
      </c>
      <c r="K91" s="789">
        <v>44501</v>
      </c>
      <c r="L91" s="399">
        <v>0</v>
      </c>
      <c r="M91" s="399">
        <v>0</v>
      </c>
      <c r="N91" s="399">
        <v>1.276</v>
      </c>
      <c r="O91" s="399">
        <v>1.276</v>
      </c>
      <c r="P91" s="399">
        <v>1.276</v>
      </c>
      <c r="Q91" s="399">
        <v>1.276</v>
      </c>
      <c r="R91" s="399"/>
      <c r="S91" s="399">
        <v>415.98</v>
      </c>
      <c r="T91" s="399">
        <v>215.17</v>
      </c>
      <c r="U91" s="399"/>
      <c r="V91" s="399">
        <v>805.34739999999999</v>
      </c>
      <c r="W91" s="399">
        <v>805.34739999999999</v>
      </c>
      <c r="X91" s="399">
        <v>699.93704000000002</v>
      </c>
      <c r="Y91" s="399">
        <v>0</v>
      </c>
      <c r="Z91" s="399">
        <v>77.946499168182868</v>
      </c>
      <c r="AA91" s="399">
        <v>0</v>
      </c>
      <c r="AB91" s="399">
        <v>0</v>
      </c>
      <c r="AC91" s="399">
        <v>0</v>
      </c>
      <c r="AD91" s="399">
        <v>113.96667676890748</v>
      </c>
      <c r="AE91" s="399">
        <v>322.58618753269764</v>
      </c>
      <c r="AF91" s="399">
        <v>268.93223235802748</v>
      </c>
      <c r="AG91" s="399">
        <v>5.62329937903041</v>
      </c>
      <c r="AH91" s="399">
        <v>0</v>
      </c>
      <c r="AI91" s="399">
        <v>0</v>
      </c>
      <c r="AJ91" s="399">
        <v>0</v>
      </c>
      <c r="AK91" s="399">
        <v>0</v>
      </c>
      <c r="AL91" s="399">
        <v>12.044733552030049</v>
      </c>
      <c r="AM91" s="399"/>
      <c r="AN91" s="399">
        <v>1.5023591830003633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2.7458684771529565</v>
      </c>
      <c r="BH91" s="399">
        <v>0</v>
      </c>
      <c r="BI91" s="399">
        <v>0</v>
      </c>
      <c r="BJ91" s="399">
        <v>0</v>
      </c>
      <c r="BK91" s="399">
        <v>1154.52</v>
      </c>
      <c r="BL91" s="399">
        <v>8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271.67810083518043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702.13120000000004</v>
      </c>
      <c r="CJ91" s="399">
        <v>-103.24619999999993</v>
      </c>
      <c r="CK91" s="399"/>
      <c r="CL91" s="399"/>
      <c r="CM91" s="399"/>
      <c r="CN91" s="399"/>
      <c r="CO91" s="399">
        <v>-140.09204000000003</v>
      </c>
      <c r="CP91" s="399">
        <v>34.681680000000007</v>
      </c>
      <c r="CQ91" s="399">
        <v>30</v>
      </c>
      <c r="CR91" s="399">
        <v>36.12852840597111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4.7435417611918638</v>
      </c>
      <c r="DA91" s="399">
        <v>0</v>
      </c>
      <c r="DB91" s="399">
        <v>0</v>
      </c>
      <c r="DC91" s="399">
        <v>34.681022961004317</v>
      </c>
      <c r="DD91" s="399">
        <v>0</v>
      </c>
      <c r="DE91" s="399">
        <v>0</v>
      </c>
      <c r="DF91" s="399">
        <v>0</v>
      </c>
      <c r="DG91" s="399">
        <v>0.35410232112773699</v>
      </c>
      <c r="DH91" s="399">
        <v>0</v>
      </c>
      <c r="DI91" s="399">
        <v>-3.1692265055850442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-0.38296879012915319</v>
      </c>
      <c r="DP91" s="399">
        <v>-9.7943341638644821E-2</v>
      </c>
      <c r="DQ91" s="399">
        <v>0</v>
      </c>
      <c r="DR91" s="399">
        <v>0</v>
      </c>
      <c r="DS91" s="399"/>
      <c r="DT91" s="399"/>
      <c r="DU91" s="399"/>
      <c r="DV91" s="399">
        <v>322.58618753269764</v>
      </c>
      <c r="DW91" s="399">
        <v>0</v>
      </c>
      <c r="DX91" s="399">
        <v>0</v>
      </c>
      <c r="DY91" s="399">
        <v>-140.09204</v>
      </c>
      <c r="DZ91" s="399">
        <v>34.681680000000028</v>
      </c>
      <c r="EA91" s="399">
        <v>0</v>
      </c>
      <c r="EB91" s="399">
        <v>0</v>
      </c>
      <c r="EC91" s="399">
        <v>-141.54188551533883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216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954</v>
      </c>
      <c r="C92" s="399" t="s">
        <v>2360</v>
      </c>
      <c r="D92" s="399" t="s">
        <v>533</v>
      </c>
      <c r="E92" s="399" t="s">
        <v>916</v>
      </c>
      <c r="F92" s="399" t="s">
        <v>1237</v>
      </c>
      <c r="G92" s="399" t="s">
        <v>1237</v>
      </c>
      <c r="H92" s="399" t="s">
        <v>1237</v>
      </c>
      <c r="I92" s="399" t="s">
        <v>891</v>
      </c>
      <c r="J92" s="399" t="s">
        <v>2353</v>
      </c>
      <c r="K92" s="789">
        <v>44501</v>
      </c>
      <c r="L92" s="399">
        <v>0</v>
      </c>
      <c r="M92" s="399">
        <v>0</v>
      </c>
      <c r="N92" s="399">
        <v>2.4809999999999999</v>
      </c>
      <c r="O92" s="399">
        <v>2.4809999999999999</v>
      </c>
      <c r="P92" s="399">
        <v>2.4809999999999999</v>
      </c>
      <c r="Q92" s="399">
        <v>2.4809999999999999</v>
      </c>
      <c r="R92" s="399"/>
      <c r="S92" s="399">
        <v>2184.0300000000002</v>
      </c>
      <c r="T92" s="399">
        <v>215.17</v>
      </c>
      <c r="U92" s="399"/>
      <c r="V92" s="399">
        <v>5952.4152000000004</v>
      </c>
      <c r="W92" s="399">
        <v>5952.4152000000004</v>
      </c>
      <c r="X92" s="399">
        <v>4491.5775899999999</v>
      </c>
      <c r="Y92" s="399">
        <v>0</v>
      </c>
      <c r="Z92" s="399">
        <v>131.85358938836006</v>
      </c>
      <c r="AA92" s="399">
        <v>0</v>
      </c>
      <c r="AB92" s="399">
        <v>0</v>
      </c>
      <c r="AC92" s="399">
        <v>0</v>
      </c>
      <c r="AD92" s="399">
        <v>1634.9647743259452</v>
      </c>
      <c r="AE92" s="399">
        <v>3624.5625567555467</v>
      </c>
      <c r="AF92" s="399">
        <v>522.90036714754399</v>
      </c>
      <c r="AG92" s="399">
        <v>10.933703573177466</v>
      </c>
      <c r="AH92" s="399">
        <v>0</v>
      </c>
      <c r="AI92" s="399">
        <v>0</v>
      </c>
      <c r="AJ92" s="399">
        <v>0</v>
      </c>
      <c r="AK92" s="399">
        <v>0</v>
      </c>
      <c r="AL92" s="399">
        <v>23.419266412685385</v>
      </c>
      <c r="AM92" s="399"/>
      <c r="AN92" s="399">
        <v>1.7115740350238615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2.0613415277033114</v>
      </c>
      <c r="BH92" s="399">
        <v>0</v>
      </c>
      <c r="BI92" s="399">
        <v>0</v>
      </c>
      <c r="BJ92" s="399">
        <v>0</v>
      </c>
      <c r="BK92" s="399">
        <v>0</v>
      </c>
      <c r="BL92" s="399">
        <v>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524.96170867524734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4489.7672000000002</v>
      </c>
      <c r="CJ92" s="399">
        <v>-1462.6780000000008</v>
      </c>
      <c r="CK92" s="399"/>
      <c r="CL92" s="399"/>
      <c r="CM92" s="399"/>
      <c r="CN92" s="399"/>
      <c r="CO92" s="399">
        <v>-1528.2711900000006</v>
      </c>
      <c r="CP92" s="399">
        <v>67.433580000000021</v>
      </c>
      <c r="CQ92" s="399">
        <v>30</v>
      </c>
      <c r="CR92" s="399">
        <v>129.531685181184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68.050801383098587</v>
      </c>
      <c r="DA92" s="399">
        <v>0</v>
      </c>
      <c r="DB92" s="399">
        <v>0</v>
      </c>
      <c r="DC92" s="399">
        <v>67.432302481388433</v>
      </c>
      <c r="DD92" s="399">
        <v>0</v>
      </c>
      <c r="DE92" s="399">
        <v>0</v>
      </c>
      <c r="DF92" s="399">
        <v>0</v>
      </c>
      <c r="DG92" s="399">
        <v>0.26582694170172561</v>
      </c>
      <c r="DH92" s="399">
        <v>0</v>
      </c>
      <c r="DI92" s="399">
        <v>-5.3610347456973955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-0.74462818833105615</v>
      </c>
      <c r="DP92" s="399">
        <v>-0.11158269097633333</v>
      </c>
      <c r="DQ92" s="399">
        <v>0</v>
      </c>
      <c r="DR92" s="399">
        <v>0</v>
      </c>
      <c r="DS92" s="399"/>
      <c r="DT92" s="399"/>
      <c r="DU92" s="399"/>
      <c r="DV92" s="399">
        <v>3624.5625567555467</v>
      </c>
      <c r="DW92" s="399">
        <v>0</v>
      </c>
      <c r="DX92" s="399">
        <v>0</v>
      </c>
      <c r="DY92" s="399">
        <v>-1528.2711900000008</v>
      </c>
      <c r="DZ92" s="399">
        <v>67.43358000000012</v>
      </c>
      <c r="EA92" s="399">
        <v>0</v>
      </c>
      <c r="EB92" s="399">
        <v>0</v>
      </c>
      <c r="EC92" s="399">
        <v>-1590.3576727056127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216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954</v>
      </c>
      <c r="C93" s="399" t="s">
        <v>2360</v>
      </c>
      <c r="D93" s="399" t="s">
        <v>533</v>
      </c>
      <c r="E93" s="399" t="s">
        <v>916</v>
      </c>
      <c r="F93" s="399" t="s">
        <v>1237</v>
      </c>
      <c r="G93" s="399" t="s">
        <v>1237</v>
      </c>
      <c r="H93" s="399" t="s">
        <v>1237</v>
      </c>
      <c r="I93" s="399" t="s">
        <v>2327</v>
      </c>
      <c r="J93" s="399" t="s">
        <v>2353</v>
      </c>
      <c r="K93" s="789">
        <v>44501</v>
      </c>
      <c r="L93" s="399">
        <v>0</v>
      </c>
      <c r="M93" s="399">
        <v>0</v>
      </c>
      <c r="N93" s="399">
        <v>28.847000000000001</v>
      </c>
      <c r="O93" s="399">
        <v>28.847000000000001</v>
      </c>
      <c r="P93" s="399">
        <v>28.847000000000001</v>
      </c>
      <c r="Q93" s="399">
        <v>28.847000000000001</v>
      </c>
      <c r="R93" s="399"/>
      <c r="S93" s="399">
        <v>64.11</v>
      </c>
      <c r="T93" s="399">
        <v>215.17</v>
      </c>
      <c r="U93" s="399"/>
      <c r="V93" s="399">
        <v>8056.3901600000008</v>
      </c>
      <c r="W93" s="399">
        <v>8056.3901600000008</v>
      </c>
      <c r="X93" s="399">
        <v>8771.2188200000001</v>
      </c>
      <c r="Y93" s="399">
        <v>0</v>
      </c>
      <c r="Z93" s="399">
        <v>1533.0836328440239</v>
      </c>
      <c r="AA93" s="399">
        <v>0</v>
      </c>
      <c r="AB93" s="399">
        <v>0</v>
      </c>
      <c r="AC93" s="399">
        <v>0</v>
      </c>
      <c r="AD93" s="399">
        <v>0</v>
      </c>
      <c r="AE93" s="399">
        <v>0</v>
      </c>
      <c r="AF93" s="399">
        <v>6079.8496135047162</v>
      </c>
      <c r="AG93" s="399">
        <v>127.12799152577604</v>
      </c>
      <c r="AH93" s="399">
        <v>0</v>
      </c>
      <c r="AI93" s="399">
        <v>0</v>
      </c>
      <c r="AJ93" s="399">
        <v>0</v>
      </c>
      <c r="AK93" s="399">
        <v>0</v>
      </c>
      <c r="AL93" s="399">
        <v>272.29970907163857</v>
      </c>
      <c r="AM93" s="399"/>
      <c r="AN93" s="399">
        <v>19.900756222625287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23.967561084102147</v>
      </c>
      <c r="BH93" s="399">
        <v>0</v>
      </c>
      <c r="BI93" s="399">
        <v>0</v>
      </c>
      <c r="BJ93" s="399">
        <v>0</v>
      </c>
      <c r="BK93" s="399">
        <v>0</v>
      </c>
      <c r="BL93" s="399">
        <v>0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6103.8171745888185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8772.1310000000012</v>
      </c>
      <c r="CJ93" s="399">
        <v>715.71084000000064</v>
      </c>
      <c r="CK93" s="399"/>
      <c r="CL93" s="399"/>
      <c r="CM93" s="399"/>
      <c r="CN93" s="399"/>
      <c r="CO93" s="399">
        <v>-69.232799999999969</v>
      </c>
      <c r="CP93" s="399">
        <v>784.06146000000024</v>
      </c>
      <c r="CQ93" s="399">
        <v>30</v>
      </c>
      <c r="CR93" s="399">
        <v>714.84847034396262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0</v>
      </c>
      <c r="DA93" s="399">
        <v>0</v>
      </c>
      <c r="DB93" s="399">
        <v>0</v>
      </c>
      <c r="DC93" s="399">
        <v>784.04660607844198</v>
      </c>
      <c r="DD93" s="399">
        <v>0</v>
      </c>
      <c r="DE93" s="399">
        <v>0</v>
      </c>
      <c r="DF93" s="399">
        <v>0</v>
      </c>
      <c r="DG93" s="399">
        <v>3.0908141020837085</v>
      </c>
      <c r="DH93" s="399">
        <v>0</v>
      </c>
      <c r="DI93" s="399">
        <v>-62.333643413596519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-8.657915900357068</v>
      </c>
      <c r="DP93" s="399">
        <v>-1.2973905226095468</v>
      </c>
      <c r="DQ93" s="399">
        <v>0</v>
      </c>
      <c r="DR93" s="399">
        <v>0</v>
      </c>
      <c r="DS93" s="399"/>
      <c r="DT93" s="399"/>
      <c r="DU93" s="399"/>
      <c r="DV93" s="399">
        <v>0</v>
      </c>
      <c r="DW93" s="399">
        <v>0</v>
      </c>
      <c r="DX93" s="399">
        <v>0</v>
      </c>
      <c r="DY93" s="399">
        <v>-69.232799999999997</v>
      </c>
      <c r="DZ93" s="399">
        <v>784.0614599999999</v>
      </c>
      <c r="EA93" s="399">
        <v>0</v>
      </c>
      <c r="EB93" s="399">
        <v>0</v>
      </c>
      <c r="EC93" s="399">
        <v>0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216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954</v>
      </c>
      <c r="C94" s="399" t="s">
        <v>2360</v>
      </c>
      <c r="D94" s="399" t="s">
        <v>533</v>
      </c>
      <c r="E94" s="399" t="s">
        <v>916</v>
      </c>
      <c r="F94" s="399" t="s">
        <v>1237</v>
      </c>
      <c r="G94" s="399" t="s">
        <v>1237</v>
      </c>
      <c r="H94" s="399" t="s">
        <v>1237</v>
      </c>
      <c r="I94" s="399" t="s">
        <v>1237</v>
      </c>
      <c r="J94" s="399" t="s">
        <v>2353</v>
      </c>
      <c r="K94" s="789">
        <v>44501</v>
      </c>
      <c r="L94" s="399">
        <v>100</v>
      </c>
      <c r="M94" s="399">
        <v>100</v>
      </c>
      <c r="N94" s="399">
        <v>0</v>
      </c>
      <c r="O94" s="399">
        <v>0</v>
      </c>
      <c r="P94" s="399">
        <v>0</v>
      </c>
      <c r="Q94" s="399">
        <v>0</v>
      </c>
      <c r="R94" s="399">
        <v>28.04</v>
      </c>
      <c r="S94" s="399"/>
      <c r="T94" s="399"/>
      <c r="U94" s="399">
        <v>2804</v>
      </c>
      <c r="V94" s="399"/>
      <c r="W94" s="399">
        <v>2804</v>
      </c>
      <c r="X94" s="399">
        <v>2106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1107.0677394504298</v>
      </c>
      <c r="AE94" s="399">
        <v>1697.4299900286401</v>
      </c>
      <c r="AF94" s="399"/>
      <c r="AG94" s="399"/>
      <c r="AH94" s="399"/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0</v>
      </c>
      <c r="AO94" s="399">
        <v>0</v>
      </c>
      <c r="AP94" s="399">
        <v>0</v>
      </c>
      <c r="AQ94" s="399">
        <v>0</v>
      </c>
      <c r="AR94" s="399">
        <v>0</v>
      </c>
      <c r="AS94" s="399"/>
      <c r="AT94" s="399"/>
      <c r="AU94" s="399">
        <v>0</v>
      </c>
      <c r="AV94" s="399">
        <v>0</v>
      </c>
      <c r="AW94" s="399">
        <v>0</v>
      </c>
      <c r="AX94" s="399"/>
      <c r="AY94" s="399"/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/>
      <c r="BG94" s="399">
        <v>0</v>
      </c>
      <c r="BH94" s="399">
        <v>0</v>
      </c>
      <c r="BI94" s="399">
        <v>0</v>
      </c>
      <c r="BJ94" s="399">
        <v>0</v>
      </c>
      <c r="BK94" s="399">
        <v>6059.64</v>
      </c>
      <c r="BL94" s="399">
        <v>1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0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2106</v>
      </c>
      <c r="CJ94" s="399">
        <v>-698.03000000000065</v>
      </c>
      <c r="CK94" s="399"/>
      <c r="CL94" s="399"/>
      <c r="CM94" s="399"/>
      <c r="CN94" s="399"/>
      <c r="CO94" s="399">
        <v>-698</v>
      </c>
      <c r="CP94" s="399">
        <v>0</v>
      </c>
      <c r="CQ94" s="399">
        <v>30</v>
      </c>
      <c r="CR94" s="399">
        <v>46.078574925890052</v>
      </c>
      <c r="CS94" s="399">
        <v>0</v>
      </c>
      <c r="CT94" s="399">
        <v>0</v>
      </c>
      <c r="CU94" s="399">
        <v>0</v>
      </c>
      <c r="CV94" s="399">
        <v>0</v>
      </c>
      <c r="CW94" s="399"/>
      <c r="CX94" s="399"/>
      <c r="CY94" s="399"/>
      <c r="CZ94" s="399">
        <v>46.078574925890052</v>
      </c>
      <c r="DA94" s="399">
        <v>0</v>
      </c>
      <c r="DB94" s="399">
        <v>0</v>
      </c>
      <c r="DC94" s="399"/>
      <c r="DD94" s="399"/>
      <c r="DE94" s="399">
        <v>0</v>
      </c>
      <c r="DF94" s="399">
        <v>0</v>
      </c>
      <c r="DG94" s="399">
        <v>0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/>
      <c r="DN94" s="399">
        <v>0</v>
      </c>
      <c r="DO94" s="399">
        <v>0</v>
      </c>
      <c r="DP94" s="399">
        <v>0</v>
      </c>
      <c r="DQ94" s="399">
        <v>0</v>
      </c>
      <c r="DR94" s="399">
        <v>0</v>
      </c>
      <c r="DS94" s="399"/>
      <c r="DT94" s="399"/>
      <c r="DU94" s="399">
        <v>1697.4299900286401</v>
      </c>
      <c r="DV94" s="399"/>
      <c r="DW94" s="399">
        <v>0</v>
      </c>
      <c r="DX94" s="399">
        <v>0</v>
      </c>
      <c r="DY94" s="399">
        <v>-698</v>
      </c>
      <c r="DZ94" s="399"/>
      <c r="EA94" s="399">
        <v>0</v>
      </c>
      <c r="EB94" s="399"/>
      <c r="EC94" s="399">
        <v>-744.78527167126106</v>
      </c>
      <c r="ED94" s="399"/>
      <c r="EE94" s="399">
        <v>0</v>
      </c>
      <c r="EF94" s="399">
        <v>0</v>
      </c>
      <c r="EG94" s="399"/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/>
      <c r="EN94" s="399"/>
      <c r="EO94" s="399">
        <v>0</v>
      </c>
      <c r="EP94" s="399">
        <v>0</v>
      </c>
      <c r="EQ94" s="399"/>
      <c r="ER94" s="399">
        <v>0</v>
      </c>
      <c r="ES94" s="399"/>
      <c r="ET94" s="399">
        <v>0</v>
      </c>
      <c r="EU94" s="399"/>
      <c r="EV94" s="399">
        <v>216</v>
      </c>
      <c r="EW94" s="399"/>
      <c r="EX94" s="399"/>
      <c r="EY94" s="399"/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954</v>
      </c>
      <c r="C95" s="399" t="s">
        <v>2361</v>
      </c>
      <c r="D95" s="399" t="s">
        <v>1824</v>
      </c>
      <c r="E95" s="399" t="s">
        <v>916</v>
      </c>
      <c r="F95" s="399" t="s">
        <v>1237</v>
      </c>
      <c r="G95" s="399" t="s">
        <v>1237</v>
      </c>
      <c r="H95" s="399" t="s">
        <v>1237</v>
      </c>
      <c r="I95" s="399" t="s">
        <v>891</v>
      </c>
      <c r="J95" s="399" t="s">
        <v>2353</v>
      </c>
      <c r="K95" s="789">
        <v>44501</v>
      </c>
      <c r="L95" s="399">
        <v>0</v>
      </c>
      <c r="M95" s="399">
        <v>0</v>
      </c>
      <c r="N95" s="399">
        <v>5.1999999999999998E-2</v>
      </c>
      <c r="O95" s="399">
        <v>5.1999999999999998E-2</v>
      </c>
      <c r="P95" s="399">
        <v>5.1999999999999998E-2</v>
      </c>
      <c r="Q95" s="399">
        <v>5.1999999999999998E-2</v>
      </c>
      <c r="R95" s="399"/>
      <c r="S95" s="399">
        <v>1254.27</v>
      </c>
      <c r="T95" s="399">
        <v>215.17</v>
      </c>
      <c r="U95" s="399"/>
      <c r="V95" s="399">
        <v>76.410879999999992</v>
      </c>
      <c r="W95" s="399">
        <v>76.410879999999992</v>
      </c>
      <c r="X95" s="399">
        <v>58.45684</v>
      </c>
      <c r="Y95" s="399">
        <v>0</v>
      </c>
      <c r="Z95" s="399">
        <v>3.1765031008977345</v>
      </c>
      <c r="AA95" s="399">
        <v>0</v>
      </c>
      <c r="AB95" s="399">
        <v>0</v>
      </c>
      <c r="AC95" s="399">
        <v>0</v>
      </c>
      <c r="AD95" s="399">
        <v>16.027221514839496</v>
      </c>
      <c r="AE95" s="399">
        <v>45.354188899018318</v>
      </c>
      <c r="AF95" s="399">
        <v>10.959620754402373</v>
      </c>
      <c r="AG95" s="399">
        <v>0.22916267061879411</v>
      </c>
      <c r="AH95" s="399">
        <v>0</v>
      </c>
      <c r="AI95" s="399">
        <v>0</v>
      </c>
      <c r="AJ95" s="399">
        <v>0</v>
      </c>
      <c r="AK95" s="399">
        <v>0</v>
      </c>
      <c r="AL95" s="399">
        <v>0.49085121058429665</v>
      </c>
      <c r="AM95" s="399"/>
      <c r="AN95" s="399">
        <v>6.1224668899701316E-2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0.11190059624761263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11.071521350649986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56.208500000000008</v>
      </c>
      <c r="CJ95" s="399">
        <v>-20.232379999999999</v>
      </c>
      <c r="CK95" s="399"/>
      <c r="CL95" s="399"/>
      <c r="CM95" s="399"/>
      <c r="CN95" s="399"/>
      <c r="CO95" s="399">
        <v>-19.367399999999996</v>
      </c>
      <c r="CP95" s="399">
        <v>1.4133600000000004</v>
      </c>
      <c r="CQ95" s="399">
        <v>30</v>
      </c>
      <c r="CR95" s="399">
        <v>1.9460999256018852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0.6670879306735813</v>
      </c>
      <c r="DA95" s="399">
        <v>0</v>
      </c>
      <c r="DB95" s="399">
        <v>0</v>
      </c>
      <c r="DC95" s="399">
        <v>1.4133332241161636</v>
      </c>
      <c r="DD95" s="399">
        <v>0</v>
      </c>
      <c r="DE95" s="399">
        <v>0</v>
      </c>
      <c r="DF95" s="399">
        <v>0</v>
      </c>
      <c r="DG95" s="399">
        <v>1.4430502114923457E-2</v>
      </c>
      <c r="DH95" s="399">
        <v>0</v>
      </c>
      <c r="DI95" s="399">
        <v>-0.12915343126208656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-1.5606878594604967E-2</v>
      </c>
      <c r="DP95" s="399">
        <v>-3.9914214460889663E-3</v>
      </c>
      <c r="DQ95" s="399">
        <v>0</v>
      </c>
      <c r="DR95" s="399">
        <v>0</v>
      </c>
      <c r="DS95" s="399"/>
      <c r="DT95" s="399"/>
      <c r="DU95" s="399"/>
      <c r="DV95" s="399">
        <v>45.354188899018318</v>
      </c>
      <c r="DW95" s="399">
        <v>0</v>
      </c>
      <c r="DX95" s="399">
        <v>0</v>
      </c>
      <c r="DY95" s="399">
        <v>-19.367399999999989</v>
      </c>
      <c r="DZ95" s="399">
        <v>1.4133600000000008</v>
      </c>
      <c r="EA95" s="399">
        <v>0</v>
      </c>
      <c r="EB95" s="399">
        <v>0</v>
      </c>
      <c r="EC95" s="399">
        <v>-19.900162067959624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216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954</v>
      </c>
      <c r="C96" s="399" t="s">
        <v>2361</v>
      </c>
      <c r="D96" s="399" t="s">
        <v>1824</v>
      </c>
      <c r="E96" s="399" t="s">
        <v>916</v>
      </c>
      <c r="F96" s="399" t="s">
        <v>1237</v>
      </c>
      <c r="G96" s="399" t="s">
        <v>1237</v>
      </c>
      <c r="H96" s="399" t="s">
        <v>1237</v>
      </c>
      <c r="I96" s="399" t="s">
        <v>2327</v>
      </c>
      <c r="J96" s="399" t="s">
        <v>2353</v>
      </c>
      <c r="K96" s="789">
        <v>44501</v>
      </c>
      <c r="L96" s="399">
        <v>0</v>
      </c>
      <c r="M96" s="399">
        <v>0</v>
      </c>
      <c r="N96" s="399">
        <v>0.63</v>
      </c>
      <c r="O96" s="399">
        <v>0.63</v>
      </c>
      <c r="P96" s="399">
        <v>0.63</v>
      </c>
      <c r="Q96" s="399">
        <v>0.63</v>
      </c>
      <c r="R96" s="399"/>
      <c r="S96" s="399">
        <v>309.91000000000003</v>
      </c>
      <c r="T96" s="399">
        <v>215.17</v>
      </c>
      <c r="U96" s="399"/>
      <c r="V96" s="399">
        <v>330.80039999999997</v>
      </c>
      <c r="W96" s="399">
        <v>330.80039999999997</v>
      </c>
      <c r="X96" s="399">
        <v>299.69100000000003</v>
      </c>
      <c r="Y96" s="399">
        <v>0</v>
      </c>
      <c r="Z96" s="399">
        <v>38.484556799337938</v>
      </c>
      <c r="AA96" s="399">
        <v>0</v>
      </c>
      <c r="AB96" s="399">
        <v>0</v>
      </c>
      <c r="AC96" s="399">
        <v>0</v>
      </c>
      <c r="AD96" s="399">
        <v>38.81850235509399</v>
      </c>
      <c r="AE96" s="399">
        <v>109.89679267311381</v>
      </c>
      <c r="AF96" s="399">
        <v>132.78002067833643</v>
      </c>
      <c r="AG96" s="399">
        <v>2.7763938940353903</v>
      </c>
      <c r="AH96" s="399">
        <v>0</v>
      </c>
      <c r="AI96" s="399">
        <v>0</v>
      </c>
      <c r="AJ96" s="399">
        <v>0</v>
      </c>
      <c r="AK96" s="399">
        <v>0</v>
      </c>
      <c r="AL96" s="399">
        <v>5.9468512051559017</v>
      </c>
      <c r="AM96" s="399"/>
      <c r="AN96" s="399">
        <v>0.74176041166945827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1.3557187622306917</v>
      </c>
      <c r="BH96" s="399">
        <v>0</v>
      </c>
      <c r="BI96" s="399">
        <v>0</v>
      </c>
      <c r="BJ96" s="399">
        <v>0</v>
      </c>
      <c r="BK96" s="399">
        <v>0</v>
      </c>
      <c r="BL96" s="399">
        <v>0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>
        <v>134.13573944056711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299.69100000000003</v>
      </c>
      <c r="CJ96" s="399">
        <v>-31.13939999999991</v>
      </c>
      <c r="CK96" s="399"/>
      <c r="CL96" s="399"/>
      <c r="CM96" s="399"/>
      <c r="CN96" s="399"/>
      <c r="CO96" s="399">
        <v>-48.232800000000019</v>
      </c>
      <c r="CP96" s="399">
        <v>17.123400000000004</v>
      </c>
      <c r="CQ96" s="399">
        <v>30</v>
      </c>
      <c r="CR96" s="399">
        <v>17.111433015822882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1.6157107695760331</v>
      </c>
      <c r="DA96" s="399">
        <v>0</v>
      </c>
      <c r="DB96" s="399">
        <v>0</v>
      </c>
      <c r="DC96" s="399">
        <v>17.123075599868912</v>
      </c>
      <c r="DD96" s="399">
        <v>0</v>
      </c>
      <c r="DE96" s="399">
        <v>0</v>
      </c>
      <c r="DF96" s="399">
        <v>0</v>
      </c>
      <c r="DG96" s="399">
        <v>0.17483108331541874</v>
      </c>
      <c r="DH96" s="399">
        <v>0</v>
      </c>
      <c r="DI96" s="399">
        <v>-1.5647434941368132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-0.1890833368192526</v>
      </c>
      <c r="DP96" s="399">
        <v>-4.8357605981462437E-2</v>
      </c>
      <c r="DQ96" s="399">
        <v>0</v>
      </c>
      <c r="DR96" s="399">
        <v>0</v>
      </c>
      <c r="DS96" s="399"/>
      <c r="DT96" s="399"/>
      <c r="DU96" s="399"/>
      <c r="DV96" s="399">
        <v>109.89679267311381</v>
      </c>
      <c r="DW96" s="399">
        <v>0</v>
      </c>
      <c r="DX96" s="399">
        <v>0</v>
      </c>
      <c r="DY96" s="399">
        <v>-48.232799999999997</v>
      </c>
      <c r="DZ96" s="399">
        <v>17.123400000000004</v>
      </c>
      <c r="EA96" s="399">
        <v>0</v>
      </c>
      <c r="EB96" s="399">
        <v>0</v>
      </c>
      <c r="EC96" s="399">
        <v>-48.219669186747588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216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954</v>
      </c>
      <c r="C97" s="399" t="s">
        <v>2361</v>
      </c>
      <c r="D97" s="399" t="s">
        <v>1824</v>
      </c>
      <c r="E97" s="399" t="s">
        <v>916</v>
      </c>
      <c r="F97" s="399" t="s">
        <v>1237</v>
      </c>
      <c r="G97" s="399" t="s">
        <v>1237</v>
      </c>
      <c r="H97" s="399" t="s">
        <v>1237</v>
      </c>
      <c r="I97" s="399" t="s">
        <v>1237</v>
      </c>
      <c r="J97" s="399" t="s">
        <v>2353</v>
      </c>
      <c r="K97" s="789">
        <v>44501</v>
      </c>
      <c r="L97" s="399">
        <v>0</v>
      </c>
      <c r="M97" s="399">
        <v>0</v>
      </c>
      <c r="N97" s="399">
        <v>0</v>
      </c>
      <c r="O97" s="399">
        <v>0</v>
      </c>
      <c r="P97" s="399">
        <v>0</v>
      </c>
      <c r="Q97" s="399">
        <v>0</v>
      </c>
      <c r="R97" s="399"/>
      <c r="S97" s="399"/>
      <c r="T97" s="399"/>
      <c r="U97" s="399"/>
      <c r="V97" s="399"/>
      <c r="W97" s="399"/>
      <c r="X97" s="399"/>
      <c r="Y97" s="399"/>
      <c r="Z97" s="399"/>
      <c r="AA97" s="399">
        <v>0</v>
      </c>
      <c r="AB97" s="399"/>
      <c r="AC97" s="399"/>
      <c r="AD97" s="399"/>
      <c r="AE97" s="399"/>
      <c r="AF97" s="399"/>
      <c r="AG97" s="399"/>
      <c r="AH97" s="399"/>
      <c r="AI97" s="399"/>
      <c r="AJ97" s="399"/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>
        <v>0</v>
      </c>
      <c r="BA97" s="399"/>
      <c r="BB97" s="399"/>
      <c r="BC97" s="399"/>
      <c r="BD97" s="399"/>
      <c r="BE97" s="399"/>
      <c r="BF97" s="399"/>
      <c r="BG97" s="399"/>
      <c r="BH97" s="399"/>
      <c r="BI97" s="399">
        <v>0</v>
      </c>
      <c r="BJ97" s="399">
        <v>0</v>
      </c>
      <c r="BK97" s="399">
        <v>162.32</v>
      </c>
      <c r="BL97" s="399">
        <v>1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/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/>
      <c r="CJ97" s="399">
        <v>-0.03</v>
      </c>
      <c r="CK97" s="399"/>
      <c r="CL97" s="399"/>
      <c r="CM97" s="399"/>
      <c r="CN97" s="399"/>
      <c r="CO97" s="399">
        <v>0</v>
      </c>
      <c r="CP97" s="399">
        <v>0</v>
      </c>
      <c r="CQ97" s="399">
        <v>30</v>
      </c>
      <c r="CR97" s="399"/>
      <c r="CS97" s="399"/>
      <c r="CT97" s="399"/>
      <c r="CU97" s="399"/>
      <c r="CV97" s="399"/>
      <c r="CW97" s="399"/>
      <c r="CX97" s="399"/>
      <c r="CY97" s="399"/>
      <c r="CZ97" s="399"/>
      <c r="DA97" s="399"/>
      <c r="DB97" s="399"/>
      <c r="DC97" s="399"/>
      <c r="DD97" s="399"/>
      <c r="DE97" s="399"/>
      <c r="DF97" s="399"/>
      <c r="DG97" s="399"/>
      <c r="DH97" s="399"/>
      <c r="DI97" s="399"/>
      <c r="DJ97" s="399"/>
      <c r="DK97" s="399">
        <v>0</v>
      </c>
      <c r="DL97" s="399"/>
      <c r="DM97" s="399"/>
      <c r="DN97" s="399"/>
      <c r="DO97" s="399"/>
      <c r="DP97" s="399"/>
      <c r="DQ97" s="399"/>
      <c r="DR97" s="399"/>
      <c r="DS97" s="399"/>
      <c r="DT97" s="399"/>
      <c r="DU97" s="399"/>
      <c r="DV97" s="399"/>
      <c r="DW97" s="399"/>
      <c r="DX97" s="399"/>
      <c r="DY97" s="399"/>
      <c r="DZ97" s="399"/>
      <c r="EA97" s="399"/>
      <c r="EB97" s="399"/>
      <c r="EC97" s="399"/>
      <c r="ED97" s="399"/>
      <c r="EE97" s="399"/>
      <c r="EF97" s="399"/>
      <c r="EG97" s="399"/>
      <c r="EH97" s="399"/>
      <c r="EI97" s="399"/>
      <c r="EJ97" s="399"/>
      <c r="EK97" s="399"/>
      <c r="EL97" s="399"/>
      <c r="EM97" s="399"/>
      <c r="EN97" s="399"/>
      <c r="EO97" s="399"/>
      <c r="EP97" s="399"/>
      <c r="EQ97" s="399"/>
      <c r="ER97" s="399"/>
      <c r="ES97" s="399"/>
      <c r="ET97" s="399"/>
      <c r="EU97" s="399"/>
      <c r="EV97" s="399">
        <v>216</v>
      </c>
      <c r="EW97" s="399"/>
      <c r="EX97" s="399"/>
      <c r="EY97" s="399"/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954</v>
      </c>
      <c r="C98" s="399" t="s">
        <v>2361</v>
      </c>
      <c r="D98" s="399" t="s">
        <v>1824</v>
      </c>
      <c r="E98" s="399" t="s">
        <v>916</v>
      </c>
      <c r="F98" s="399" t="s">
        <v>1237</v>
      </c>
      <c r="G98" s="399" t="s">
        <v>1237</v>
      </c>
      <c r="H98" s="399" t="s">
        <v>1237</v>
      </c>
      <c r="I98" s="399" t="s">
        <v>2362</v>
      </c>
      <c r="J98" s="399" t="s">
        <v>2353</v>
      </c>
      <c r="K98" s="789">
        <v>44501</v>
      </c>
      <c r="L98" s="399">
        <v>0</v>
      </c>
      <c r="M98" s="399">
        <v>0</v>
      </c>
      <c r="N98" s="399">
        <v>3.4000000000000002E-2</v>
      </c>
      <c r="O98" s="399">
        <v>3.4000000000000002E-2</v>
      </c>
      <c r="P98" s="399">
        <v>3.4000000000000002E-2</v>
      </c>
      <c r="Q98" s="399">
        <v>3.4000000000000002E-2</v>
      </c>
      <c r="R98" s="399"/>
      <c r="S98" s="399">
        <v>782.07</v>
      </c>
      <c r="T98" s="399">
        <v>215.17</v>
      </c>
      <c r="U98" s="399"/>
      <c r="V98" s="399">
        <v>33.90616</v>
      </c>
      <c r="W98" s="399">
        <v>33.90616</v>
      </c>
      <c r="X98" s="399">
        <v>27.196939999999998</v>
      </c>
      <c r="Y98" s="399">
        <v>0</v>
      </c>
      <c r="Z98" s="399">
        <v>2.0769443352023651</v>
      </c>
      <c r="AA98" s="399">
        <v>0</v>
      </c>
      <c r="AB98" s="399">
        <v>0</v>
      </c>
      <c r="AC98" s="399">
        <v>0</v>
      </c>
      <c r="AD98" s="399">
        <v>6.2864014397953545</v>
      </c>
      <c r="AE98" s="399">
        <v>17.792794372064982</v>
      </c>
      <c r="AF98" s="399">
        <v>7.1659058778784752</v>
      </c>
      <c r="AG98" s="399">
        <v>0.14983713078921154</v>
      </c>
      <c r="AH98" s="399">
        <v>0</v>
      </c>
      <c r="AI98" s="399">
        <v>0</v>
      </c>
      <c r="AJ98" s="399">
        <v>0</v>
      </c>
      <c r="AK98" s="399">
        <v>0</v>
      </c>
      <c r="AL98" s="399">
        <v>0.32094117615127093</v>
      </c>
      <c r="AM98" s="399"/>
      <c r="AN98" s="399">
        <v>4.0031514280573943E-2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7.3165774469592881E-2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7.239071652348068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23.997299999999996</v>
      </c>
      <c r="CJ98" s="399">
        <v>-9.9388600000000125</v>
      </c>
      <c r="CK98" s="399"/>
      <c r="CL98" s="399"/>
      <c r="CM98" s="399"/>
      <c r="CN98" s="399"/>
      <c r="CO98" s="399">
        <v>-7.633340000000004</v>
      </c>
      <c r="CP98" s="399">
        <v>0.92412000000000027</v>
      </c>
      <c r="CQ98" s="399">
        <v>30</v>
      </c>
      <c r="CR98" s="399">
        <v>1.0979308183919514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0.26165374478498649</v>
      </c>
      <c r="DA98" s="399">
        <v>0</v>
      </c>
      <c r="DB98" s="399">
        <v>0</v>
      </c>
      <c r="DC98" s="399">
        <v>0.92410249269133704</v>
      </c>
      <c r="DD98" s="399">
        <v>0</v>
      </c>
      <c r="DE98" s="399">
        <v>0</v>
      </c>
      <c r="DF98" s="399">
        <v>0</v>
      </c>
      <c r="DG98" s="399">
        <v>9.4353283059114834E-3</v>
      </c>
      <c r="DH98" s="399">
        <v>0</v>
      </c>
      <c r="DI98" s="399">
        <v>-8.4446474286748785E-2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-1.0204497542626312E-2</v>
      </c>
      <c r="DP98" s="399">
        <v>-2.6097755609043247E-3</v>
      </c>
      <c r="DQ98" s="399">
        <v>0</v>
      </c>
      <c r="DR98" s="399">
        <v>0</v>
      </c>
      <c r="DS98" s="399"/>
      <c r="DT98" s="399"/>
      <c r="DU98" s="399"/>
      <c r="DV98" s="399">
        <v>17.792794372064982</v>
      </c>
      <c r="DW98" s="399">
        <v>0</v>
      </c>
      <c r="DX98" s="399">
        <v>0</v>
      </c>
      <c r="DY98" s="399">
        <v>-7.633340000000004</v>
      </c>
      <c r="DZ98" s="399">
        <v>0.92412000000000027</v>
      </c>
      <c r="EA98" s="399">
        <v>0</v>
      </c>
      <c r="EB98" s="399">
        <v>0</v>
      </c>
      <c r="EC98" s="399">
        <v>-7.806985423867598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216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954</v>
      </c>
      <c r="C99" s="399" t="s">
        <v>2352</v>
      </c>
      <c r="D99" s="399" t="s">
        <v>2363</v>
      </c>
      <c r="E99" s="399" t="s">
        <v>892</v>
      </c>
      <c r="F99" s="399" t="s">
        <v>1237</v>
      </c>
      <c r="G99" s="399" t="s">
        <v>1237</v>
      </c>
      <c r="H99" s="399" t="s">
        <v>1237</v>
      </c>
      <c r="I99" s="399" t="s">
        <v>1237</v>
      </c>
      <c r="J99" s="399" t="s">
        <v>2353</v>
      </c>
      <c r="K99" s="789">
        <v>44501</v>
      </c>
      <c r="L99" s="399">
        <v>0</v>
      </c>
      <c r="M99" s="399">
        <v>0</v>
      </c>
      <c r="N99" s="399">
        <v>501.84</v>
      </c>
      <c r="O99" s="399">
        <v>501.84</v>
      </c>
      <c r="P99" s="399">
        <v>501.84</v>
      </c>
      <c r="Q99" s="399">
        <v>501.84</v>
      </c>
      <c r="R99" s="399"/>
      <c r="S99" s="399">
        <v>415.98</v>
      </c>
      <c r="T99" s="399">
        <v>215.17</v>
      </c>
      <c r="U99" s="399"/>
      <c r="V99" s="399">
        <v>316736.31599999999</v>
      </c>
      <c r="W99" s="399">
        <v>316736.31599999999</v>
      </c>
      <c r="X99" s="399">
        <v>275279.31359999999</v>
      </c>
      <c r="Y99" s="399">
        <v>0</v>
      </c>
      <c r="Z99" s="399">
        <v>30655.698387586905</v>
      </c>
      <c r="AA99" s="399">
        <v>0</v>
      </c>
      <c r="AB99" s="399">
        <v>0</v>
      </c>
      <c r="AC99" s="399">
        <v>0</v>
      </c>
      <c r="AD99" s="399">
        <v>44822.129364975335</v>
      </c>
      <c r="AE99" s="399">
        <v>126870.41720329857</v>
      </c>
      <c r="AF99" s="399">
        <v>105768.77075748627</v>
      </c>
      <c r="AG99" s="399">
        <v>2211.5960504487621</v>
      </c>
      <c r="AH99" s="399">
        <v>0</v>
      </c>
      <c r="AI99" s="399">
        <v>0</v>
      </c>
      <c r="AJ99" s="399">
        <v>0</v>
      </c>
      <c r="AK99" s="399">
        <v>0</v>
      </c>
      <c r="AL99" s="399">
        <v>4737.0917599927579</v>
      </c>
      <c r="AM99" s="399"/>
      <c r="AN99" s="399">
        <v>590.86515078127138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1079.9268311711908</v>
      </c>
      <c r="BH99" s="399">
        <v>0</v>
      </c>
      <c r="BI99" s="399">
        <v>0</v>
      </c>
      <c r="BJ99" s="399">
        <v>0</v>
      </c>
      <c r="BK99" s="399">
        <v>75643.210000000006</v>
      </c>
      <c r="BL99" s="399">
        <v>1656</v>
      </c>
      <c r="BM99" s="399"/>
      <c r="BN99" s="399"/>
      <c r="BO99" s="399"/>
      <c r="BP99" s="399"/>
      <c r="BQ99" s="399"/>
      <c r="BR99" s="399">
        <v>33031.108799999995</v>
      </c>
      <c r="BS99" s="399"/>
      <c r="BT99" s="399"/>
      <c r="BU99" s="399"/>
      <c r="BV99" s="399">
        <v>106848.69758865747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242248.20480000001</v>
      </c>
      <c r="CJ99" s="399">
        <v>-36478.779600000009</v>
      </c>
      <c r="CK99" s="399"/>
      <c r="CL99" s="399"/>
      <c r="CM99" s="399"/>
      <c r="CN99" s="399"/>
      <c r="CO99" s="399">
        <v>-55097.013600000006</v>
      </c>
      <c r="CP99" s="399">
        <v>13640.011200000003</v>
      </c>
      <c r="CQ99" s="399">
        <v>30</v>
      </c>
      <c r="CR99" s="399">
        <v>14209.044432016119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1865.5948255772091</v>
      </c>
      <c r="DA99" s="399">
        <v>0</v>
      </c>
      <c r="DB99" s="399">
        <v>0</v>
      </c>
      <c r="DC99" s="399">
        <v>13639.752792124142</v>
      </c>
      <c r="DD99" s="399">
        <v>0</v>
      </c>
      <c r="DE99" s="399">
        <v>0</v>
      </c>
      <c r="DF99" s="399">
        <v>0</v>
      </c>
      <c r="DG99" s="399">
        <v>139.26544579525353</v>
      </c>
      <c r="DH99" s="399">
        <v>0</v>
      </c>
      <c r="DI99" s="399">
        <v>-1246.429960472411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-150.61838372916463</v>
      </c>
      <c r="DP99" s="399">
        <v>-38.520287278947876</v>
      </c>
      <c r="DQ99" s="399">
        <v>0</v>
      </c>
      <c r="DR99" s="399">
        <v>0</v>
      </c>
      <c r="DS99" s="399"/>
      <c r="DT99" s="399"/>
      <c r="DU99" s="399"/>
      <c r="DV99" s="399">
        <v>126870.41720329857</v>
      </c>
      <c r="DW99" s="399">
        <v>0</v>
      </c>
      <c r="DX99" s="399">
        <v>0</v>
      </c>
      <c r="DY99" s="399">
        <v>-55097.013600000006</v>
      </c>
      <c r="DZ99" s="399">
        <v>13640.011199999994</v>
      </c>
      <c r="EA99" s="399">
        <v>0</v>
      </c>
      <c r="EB99" s="399">
        <v>0</v>
      </c>
      <c r="EC99" s="399">
        <v>-55667.225569763046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216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2354</v>
      </c>
      <c r="C100" s="399" t="s">
        <v>2352</v>
      </c>
      <c r="D100" s="399" t="s">
        <v>2363</v>
      </c>
      <c r="E100" s="399" t="s">
        <v>892</v>
      </c>
      <c r="F100" s="399" t="s">
        <v>1237</v>
      </c>
      <c r="G100" s="399" t="s">
        <v>1237</v>
      </c>
      <c r="H100" s="399" t="s">
        <v>1237</v>
      </c>
      <c r="I100" s="399" t="s">
        <v>1237</v>
      </c>
      <c r="J100" s="399" t="s">
        <v>2353</v>
      </c>
      <c r="K100" s="789">
        <v>44501</v>
      </c>
      <c r="L100" s="399">
        <v>0</v>
      </c>
      <c r="M100" s="399">
        <v>0</v>
      </c>
      <c r="N100" s="399">
        <v>0</v>
      </c>
      <c r="O100" s="399">
        <v>0</v>
      </c>
      <c r="P100" s="399">
        <v>0</v>
      </c>
      <c r="Q100" s="399">
        <v>0</v>
      </c>
      <c r="R100" s="399"/>
      <c r="S100" s="399"/>
      <c r="T100" s="399"/>
      <c r="U100" s="399"/>
      <c r="V100" s="399"/>
      <c r="W100" s="399"/>
      <c r="X100" s="399"/>
      <c r="Y100" s="399"/>
      <c r="Z100" s="399"/>
      <c r="AA100" s="399">
        <v>0</v>
      </c>
      <c r="AB100" s="399"/>
      <c r="AC100" s="399"/>
      <c r="AD100" s="399"/>
      <c r="AE100" s="399"/>
      <c r="AF100" s="399"/>
      <c r="AG100" s="399"/>
      <c r="AH100" s="399"/>
      <c r="AI100" s="399"/>
      <c r="AJ100" s="399"/>
      <c r="AK100" s="399"/>
      <c r="AL100" s="399"/>
      <c r="AM100" s="399"/>
      <c r="AN100" s="399"/>
      <c r="AO100" s="399"/>
      <c r="AP100" s="399"/>
      <c r="AQ100" s="399"/>
      <c r="AR100" s="399"/>
      <c r="AS100" s="399"/>
      <c r="AT100" s="399"/>
      <c r="AU100" s="399"/>
      <c r="AV100" s="399"/>
      <c r="AW100" s="399"/>
      <c r="AX100" s="399"/>
      <c r="AY100" s="399"/>
      <c r="AZ100" s="399">
        <v>0</v>
      </c>
      <c r="BA100" s="399"/>
      <c r="BB100" s="399"/>
      <c r="BC100" s="399"/>
      <c r="BD100" s="399"/>
      <c r="BE100" s="399"/>
      <c r="BF100" s="399"/>
      <c r="BG100" s="399"/>
      <c r="BH100" s="399"/>
      <c r="BI100" s="399">
        <v>0</v>
      </c>
      <c r="BJ100" s="399">
        <v>0</v>
      </c>
      <c r="BK100" s="399">
        <v>-0.3</v>
      </c>
      <c r="BL100" s="399">
        <v>0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/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/>
      <c r="CJ100" s="399">
        <v>-0.03</v>
      </c>
      <c r="CK100" s="399"/>
      <c r="CL100" s="399"/>
      <c r="CM100" s="399"/>
      <c r="CN100" s="399"/>
      <c r="CO100" s="399">
        <v>0</v>
      </c>
      <c r="CP100" s="399">
        <v>0</v>
      </c>
      <c r="CQ100" s="399">
        <v>30</v>
      </c>
      <c r="CR100" s="399"/>
      <c r="CS100" s="399"/>
      <c r="CT100" s="399"/>
      <c r="CU100" s="399"/>
      <c r="CV100" s="399"/>
      <c r="CW100" s="399"/>
      <c r="CX100" s="399"/>
      <c r="CY100" s="399"/>
      <c r="CZ100" s="399"/>
      <c r="DA100" s="399"/>
      <c r="DB100" s="399"/>
      <c r="DC100" s="399"/>
      <c r="DD100" s="399"/>
      <c r="DE100" s="399"/>
      <c r="DF100" s="399"/>
      <c r="DG100" s="399"/>
      <c r="DH100" s="399"/>
      <c r="DI100" s="399"/>
      <c r="DJ100" s="399"/>
      <c r="DK100" s="399">
        <v>0</v>
      </c>
      <c r="DL100" s="399"/>
      <c r="DM100" s="399"/>
      <c r="DN100" s="399"/>
      <c r="DO100" s="399"/>
      <c r="DP100" s="399"/>
      <c r="DQ100" s="399"/>
      <c r="DR100" s="399"/>
      <c r="DS100" s="399"/>
      <c r="DT100" s="399"/>
      <c r="DU100" s="399"/>
      <c r="DV100" s="399"/>
      <c r="DW100" s="399"/>
      <c r="DX100" s="399"/>
      <c r="DY100" s="399"/>
      <c r="DZ100" s="399"/>
      <c r="EA100" s="399"/>
      <c r="EB100" s="399"/>
      <c r="EC100" s="399"/>
      <c r="ED100" s="399"/>
      <c r="EE100" s="399"/>
      <c r="EF100" s="399"/>
      <c r="EG100" s="399"/>
      <c r="EH100" s="399"/>
      <c r="EI100" s="399"/>
      <c r="EJ100" s="399"/>
      <c r="EK100" s="399"/>
      <c r="EL100" s="399"/>
      <c r="EM100" s="399"/>
      <c r="EN100" s="399"/>
      <c r="EO100" s="399"/>
      <c r="EP100" s="399"/>
      <c r="EQ100" s="399"/>
      <c r="ER100" s="399"/>
      <c r="ES100" s="399"/>
      <c r="ET100" s="399"/>
      <c r="EU100" s="399"/>
      <c r="EV100" s="399">
        <v>216</v>
      </c>
      <c r="EW100" s="399"/>
      <c r="EX100" s="399"/>
      <c r="EY100" s="399"/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2355</v>
      </c>
      <c r="C101" s="399" t="s">
        <v>2352</v>
      </c>
      <c r="D101" s="399" t="s">
        <v>2363</v>
      </c>
      <c r="E101" s="399" t="s">
        <v>892</v>
      </c>
      <c r="F101" s="399" t="s">
        <v>1237</v>
      </c>
      <c r="G101" s="399" t="s">
        <v>1237</v>
      </c>
      <c r="H101" s="399" t="s">
        <v>1237</v>
      </c>
      <c r="I101" s="399" t="s">
        <v>1237</v>
      </c>
      <c r="J101" s="399" t="s">
        <v>2353</v>
      </c>
      <c r="K101" s="789">
        <v>44501</v>
      </c>
      <c r="L101" s="399">
        <v>0</v>
      </c>
      <c r="M101" s="399">
        <v>0</v>
      </c>
      <c r="N101" s="399">
        <v>6.399</v>
      </c>
      <c r="O101" s="399">
        <v>6.399</v>
      </c>
      <c r="P101" s="399">
        <v>6.399</v>
      </c>
      <c r="Q101" s="399">
        <v>6.399</v>
      </c>
      <c r="R101" s="399"/>
      <c r="S101" s="399">
        <v>415.98</v>
      </c>
      <c r="T101" s="399">
        <v>215.17</v>
      </c>
      <c r="U101" s="399"/>
      <c r="V101" s="399">
        <v>4038.7288500000004</v>
      </c>
      <c r="W101" s="399">
        <v>4038.7288500000004</v>
      </c>
      <c r="X101" s="399">
        <v>3510.1074600000002</v>
      </c>
      <c r="Y101" s="399">
        <v>0</v>
      </c>
      <c r="Z101" s="399">
        <v>390.89314120470391</v>
      </c>
      <c r="AA101" s="399">
        <v>0</v>
      </c>
      <c r="AB101" s="399">
        <v>0</v>
      </c>
      <c r="AC101" s="399">
        <v>0</v>
      </c>
      <c r="AD101" s="399">
        <v>571.53037981523426</v>
      </c>
      <c r="AE101" s="399">
        <v>1617.7343370076271</v>
      </c>
      <c r="AF101" s="399">
        <v>1348.6656386042457</v>
      </c>
      <c r="AG101" s="399">
        <v>28.200229409416607</v>
      </c>
      <c r="AH101" s="399">
        <v>0</v>
      </c>
      <c r="AI101" s="399">
        <v>0</v>
      </c>
      <c r="AJ101" s="399">
        <v>0</v>
      </c>
      <c r="AK101" s="399">
        <v>0</v>
      </c>
      <c r="AL101" s="399">
        <v>60.403017240940656</v>
      </c>
      <c r="AM101" s="399"/>
      <c r="AN101" s="399">
        <v>7.5341664670997837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13.770229142086023</v>
      </c>
      <c r="BH101" s="399">
        <v>0</v>
      </c>
      <c r="BI101" s="399">
        <v>0</v>
      </c>
      <c r="BJ101" s="399">
        <v>0</v>
      </c>
      <c r="BK101" s="399">
        <v>2902.48</v>
      </c>
      <c r="BL101" s="399">
        <v>21</v>
      </c>
      <c r="BM101" s="399"/>
      <c r="BN101" s="399"/>
      <c r="BO101" s="399"/>
      <c r="BP101" s="399"/>
      <c r="BQ101" s="399"/>
      <c r="BR101" s="399">
        <v>421.18217999999996</v>
      </c>
      <c r="BS101" s="399"/>
      <c r="BT101" s="399"/>
      <c r="BU101" s="399"/>
      <c r="BV101" s="399">
        <v>1362.4358677463317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3089.4080000000004</v>
      </c>
      <c r="CJ101" s="399">
        <v>-464.69059000000016</v>
      </c>
      <c r="CK101" s="399"/>
      <c r="CL101" s="399"/>
      <c r="CM101" s="399"/>
      <c r="CN101" s="399"/>
      <c r="CO101" s="399">
        <v>-702.54621000000009</v>
      </c>
      <c r="CP101" s="399">
        <v>173.92482000000004</v>
      </c>
      <c r="CQ101" s="399">
        <v>30</v>
      </c>
      <c r="CR101" s="399">
        <v>181.18060601082198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23.788341481086832</v>
      </c>
      <c r="DA101" s="399">
        <v>0</v>
      </c>
      <c r="DB101" s="399">
        <v>0</v>
      </c>
      <c r="DC101" s="399">
        <v>173.92152502152567</v>
      </c>
      <c r="DD101" s="399">
        <v>0</v>
      </c>
      <c r="DE101" s="399">
        <v>0</v>
      </c>
      <c r="DF101" s="399">
        <v>0</v>
      </c>
      <c r="DG101" s="399">
        <v>1.7757842891037541</v>
      </c>
      <c r="DH101" s="399">
        <v>0</v>
      </c>
      <c r="DI101" s="399">
        <v>-15.893323204732496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-1.920546463978404</v>
      </c>
      <c r="DP101" s="399">
        <v>-0.49117511218314025</v>
      </c>
      <c r="DQ101" s="399">
        <v>0</v>
      </c>
      <c r="DR101" s="399">
        <v>0</v>
      </c>
      <c r="DS101" s="399"/>
      <c r="DT101" s="399"/>
      <c r="DU101" s="399"/>
      <c r="DV101" s="399">
        <v>1617.7343370076271</v>
      </c>
      <c r="DW101" s="399">
        <v>0</v>
      </c>
      <c r="DX101" s="399">
        <v>0</v>
      </c>
      <c r="DY101" s="399">
        <v>-702.5462100000002</v>
      </c>
      <c r="DZ101" s="399">
        <v>173.92481999999995</v>
      </c>
      <c r="EA101" s="399">
        <v>0</v>
      </c>
      <c r="EB101" s="399">
        <v>0</v>
      </c>
      <c r="EC101" s="399">
        <v>-709.81702618546501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216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954</v>
      </c>
      <c r="C102" s="399" t="s">
        <v>2352</v>
      </c>
      <c r="D102" s="399" t="s">
        <v>1824</v>
      </c>
      <c r="E102" s="399" t="s">
        <v>2364</v>
      </c>
      <c r="F102" s="399" t="s">
        <v>1237</v>
      </c>
      <c r="G102" s="399" t="s">
        <v>1237</v>
      </c>
      <c r="H102" s="399" t="s">
        <v>1237</v>
      </c>
      <c r="I102" s="399" t="s">
        <v>1237</v>
      </c>
      <c r="J102" s="399" t="s">
        <v>2353</v>
      </c>
      <c r="K102" s="789">
        <v>44501</v>
      </c>
      <c r="L102" s="399">
        <v>0</v>
      </c>
      <c r="M102" s="399">
        <v>0</v>
      </c>
      <c r="N102" s="399">
        <v>27.48</v>
      </c>
      <c r="O102" s="399">
        <v>27.48</v>
      </c>
      <c r="P102" s="399">
        <v>27.48</v>
      </c>
      <c r="Q102" s="399">
        <v>27.48</v>
      </c>
      <c r="R102" s="399"/>
      <c r="S102" s="399">
        <v>415.98</v>
      </c>
      <c r="T102" s="399">
        <v>215.17</v>
      </c>
      <c r="U102" s="399"/>
      <c r="V102" s="399">
        <v>17344.002</v>
      </c>
      <c r="W102" s="399">
        <v>17344.002</v>
      </c>
      <c r="X102" s="399">
        <v>15073.879200000001</v>
      </c>
      <c r="Y102" s="399">
        <v>0</v>
      </c>
      <c r="Z102" s="399">
        <v>1678.6597156282644</v>
      </c>
      <c r="AA102" s="399">
        <v>0</v>
      </c>
      <c r="AB102" s="399">
        <v>0</v>
      </c>
      <c r="AC102" s="399">
        <v>0</v>
      </c>
      <c r="AD102" s="399">
        <v>2454.3920670921452</v>
      </c>
      <c r="AE102" s="399">
        <v>6947.2323145756518</v>
      </c>
      <c r="AF102" s="399">
        <v>5791.7380448264848</v>
      </c>
      <c r="AG102" s="399">
        <v>121.10365747316274</v>
      </c>
      <c r="AH102" s="399">
        <v>0</v>
      </c>
      <c r="AI102" s="399">
        <v>0</v>
      </c>
      <c r="AJ102" s="399">
        <v>0</v>
      </c>
      <c r="AK102" s="399">
        <v>0</v>
      </c>
      <c r="AL102" s="399">
        <v>259.39598590108602</v>
      </c>
      <c r="AM102" s="399"/>
      <c r="AN102" s="399">
        <v>32.354882718534469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59.135161247776828</v>
      </c>
      <c r="BH102" s="399">
        <v>0</v>
      </c>
      <c r="BI102" s="399">
        <v>0</v>
      </c>
      <c r="BJ102" s="399">
        <v>0</v>
      </c>
      <c r="BK102" s="399">
        <v>5338.12</v>
      </c>
      <c r="BL102" s="399">
        <v>48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5850.8732060742614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15073.879200000001</v>
      </c>
      <c r="CJ102" s="399">
        <v>-2270.152799999998</v>
      </c>
      <c r="CK102" s="399"/>
      <c r="CL102" s="399"/>
      <c r="CM102" s="399"/>
      <c r="CN102" s="399"/>
      <c r="CO102" s="399">
        <v>-3017.0292000000004</v>
      </c>
      <c r="CP102" s="399">
        <v>746.90640000000019</v>
      </c>
      <c r="CQ102" s="399">
        <v>30</v>
      </c>
      <c r="CR102" s="399">
        <v>778.06579984019118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102.15715328961824</v>
      </c>
      <c r="DA102" s="399">
        <v>0</v>
      </c>
      <c r="DB102" s="399">
        <v>0</v>
      </c>
      <c r="DC102" s="399">
        <v>746.89224997523434</v>
      </c>
      <c r="DD102" s="399">
        <v>0</v>
      </c>
      <c r="DE102" s="399">
        <v>0</v>
      </c>
      <c r="DF102" s="399">
        <v>0</v>
      </c>
      <c r="DG102" s="399">
        <v>7.6259653484249341</v>
      </c>
      <c r="DH102" s="399">
        <v>0</v>
      </c>
      <c r="DI102" s="399">
        <v>-68.252620982348844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-8.2476350726874159</v>
      </c>
      <c r="DP102" s="399">
        <v>-2.1093127180485567</v>
      </c>
      <c r="DQ102" s="399">
        <v>0</v>
      </c>
      <c r="DR102" s="399">
        <v>0</v>
      </c>
      <c r="DS102" s="399"/>
      <c r="DT102" s="399"/>
      <c r="DU102" s="399"/>
      <c r="DV102" s="399">
        <v>6947.2323145756518</v>
      </c>
      <c r="DW102" s="399">
        <v>0</v>
      </c>
      <c r="DX102" s="399">
        <v>0</v>
      </c>
      <c r="DY102" s="399">
        <v>-3017.029199999999</v>
      </c>
      <c r="DZ102" s="399">
        <v>746.90640000000076</v>
      </c>
      <c r="EA102" s="399">
        <v>0</v>
      </c>
      <c r="EB102" s="399">
        <v>0</v>
      </c>
      <c r="EC102" s="399">
        <v>-3048.2531457378623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216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954</v>
      </c>
      <c r="C103" s="399" t="s">
        <v>2352</v>
      </c>
      <c r="D103" s="399" t="s">
        <v>2365</v>
      </c>
      <c r="E103" s="399" t="s">
        <v>2366</v>
      </c>
      <c r="F103" s="399" t="s">
        <v>2367</v>
      </c>
      <c r="G103" s="399" t="s">
        <v>1237</v>
      </c>
      <c r="H103" s="399" t="s">
        <v>1237</v>
      </c>
      <c r="I103" s="399" t="s">
        <v>1237</v>
      </c>
      <c r="J103" s="399" t="s">
        <v>2353</v>
      </c>
      <c r="K103" s="789">
        <v>44501</v>
      </c>
      <c r="L103" s="399">
        <v>0</v>
      </c>
      <c r="M103" s="399">
        <v>0</v>
      </c>
      <c r="N103" s="399">
        <v>90.504000000000005</v>
      </c>
      <c r="O103" s="399">
        <v>90.504000000000005</v>
      </c>
      <c r="P103" s="399">
        <v>90.504000000000005</v>
      </c>
      <c r="Q103" s="399">
        <v>90.504000000000005</v>
      </c>
      <c r="R103" s="399"/>
      <c r="S103" s="399">
        <v>228.79</v>
      </c>
      <c r="T103" s="399">
        <v>118.34</v>
      </c>
      <c r="U103" s="399"/>
      <c r="V103" s="399">
        <v>31416.65352</v>
      </c>
      <c r="W103" s="399">
        <v>31416.65352</v>
      </c>
      <c r="X103" s="399">
        <v>27304.151760000001</v>
      </c>
      <c r="Y103" s="399">
        <v>0</v>
      </c>
      <c r="Z103" s="399">
        <v>3040.7198106539699</v>
      </c>
      <c r="AA103" s="399">
        <v>0</v>
      </c>
      <c r="AB103" s="399">
        <v>0</v>
      </c>
      <c r="AC103" s="399">
        <v>0</v>
      </c>
      <c r="AD103" s="399">
        <v>4445.8793596091436</v>
      </c>
      <c r="AE103" s="399">
        <v>12584.198412266949</v>
      </c>
      <c r="AF103" s="399">
        <v>10491.139119539139</v>
      </c>
      <c r="AG103" s="399">
        <v>219.36684784472811</v>
      </c>
      <c r="AH103" s="399">
        <v>0</v>
      </c>
      <c r="AI103" s="399">
        <v>0</v>
      </c>
      <c r="AJ103" s="399">
        <v>0</v>
      </c>
      <c r="AK103" s="399">
        <v>0</v>
      </c>
      <c r="AL103" s="399">
        <v>469.86920922108982</v>
      </c>
      <c r="AM103" s="399"/>
      <c r="AN103" s="399">
        <v>58.607549783735088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107.1172761449353</v>
      </c>
      <c r="BH103" s="399">
        <v>0</v>
      </c>
      <c r="BI103" s="399">
        <v>0</v>
      </c>
      <c r="BJ103" s="399">
        <v>0</v>
      </c>
      <c r="BK103" s="399">
        <v>13384.42</v>
      </c>
      <c r="BL103" s="399">
        <v>88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10598.256395684075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27302.945</v>
      </c>
      <c r="CJ103" s="399">
        <v>-4113.7385199999953</v>
      </c>
      <c r="CK103" s="399"/>
      <c r="CL103" s="399"/>
      <c r="CM103" s="399"/>
      <c r="CN103" s="399"/>
      <c r="CO103" s="399">
        <v>-5465.5365599999986</v>
      </c>
      <c r="CP103" s="399">
        <v>1353.034799999999</v>
      </c>
      <c r="CQ103" s="399">
        <v>30</v>
      </c>
      <c r="CR103" s="399">
        <v>1409.3863512302305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185.04719980814571</v>
      </c>
      <c r="DA103" s="399">
        <v>0</v>
      </c>
      <c r="DB103" s="399">
        <v>0</v>
      </c>
      <c r="DC103" s="399">
        <v>1352.9186646822709</v>
      </c>
      <c r="DD103" s="399">
        <v>0</v>
      </c>
      <c r="DE103" s="399">
        <v>0</v>
      </c>
      <c r="DF103" s="399">
        <v>0</v>
      </c>
      <c r="DG103" s="399">
        <v>13.813653651442493</v>
      </c>
      <c r="DH103" s="399">
        <v>0</v>
      </c>
      <c r="DI103" s="399">
        <v>-123.63261881959352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-14.939744561142334</v>
      </c>
      <c r="DP103" s="399">
        <v>-3.8208035308897834</v>
      </c>
      <c r="DQ103" s="399">
        <v>0</v>
      </c>
      <c r="DR103" s="399">
        <v>0</v>
      </c>
      <c r="DS103" s="399"/>
      <c r="DT103" s="399"/>
      <c r="DU103" s="399"/>
      <c r="DV103" s="399">
        <v>12584.198412266949</v>
      </c>
      <c r="DW103" s="399">
        <v>0</v>
      </c>
      <c r="DX103" s="399">
        <v>0</v>
      </c>
      <c r="DY103" s="399">
        <v>-5465.5365599999986</v>
      </c>
      <c r="DZ103" s="399">
        <v>1353.0347999999994</v>
      </c>
      <c r="EA103" s="399">
        <v>0</v>
      </c>
      <c r="EB103" s="399">
        <v>0</v>
      </c>
      <c r="EC103" s="399">
        <v>-5521.5977615001175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216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954</v>
      </c>
      <c r="C104" s="399" t="s">
        <v>2352</v>
      </c>
      <c r="D104" s="399" t="s">
        <v>1824</v>
      </c>
      <c r="E104" s="399" t="s">
        <v>919</v>
      </c>
      <c r="F104" s="399" t="s">
        <v>2368</v>
      </c>
      <c r="G104" s="399" t="s">
        <v>1237</v>
      </c>
      <c r="H104" s="399" t="s">
        <v>1237</v>
      </c>
      <c r="I104" s="399" t="s">
        <v>1237</v>
      </c>
      <c r="J104" s="399" t="s">
        <v>2353</v>
      </c>
      <c r="K104" s="789">
        <v>44501</v>
      </c>
      <c r="L104" s="399">
        <v>0</v>
      </c>
      <c r="M104" s="399">
        <v>0</v>
      </c>
      <c r="N104" s="399">
        <v>20.324000000000002</v>
      </c>
      <c r="O104" s="399">
        <v>19.104559999999999</v>
      </c>
      <c r="P104" s="399">
        <v>20.324000000000002</v>
      </c>
      <c r="Q104" s="399">
        <v>19.104559999999999</v>
      </c>
      <c r="R104" s="399"/>
      <c r="S104" s="399">
        <v>415.98</v>
      </c>
      <c r="T104" s="399">
        <v>215.17</v>
      </c>
      <c r="U104" s="399"/>
      <c r="V104" s="399">
        <v>12827.492600000001</v>
      </c>
      <c r="W104" s="399">
        <v>12827.492600000001</v>
      </c>
      <c r="X104" s="399">
        <v>11148.526960000001</v>
      </c>
      <c r="Y104" s="399">
        <v>0</v>
      </c>
      <c r="Z104" s="399">
        <v>1241.5240196662608</v>
      </c>
      <c r="AA104" s="399">
        <v>0</v>
      </c>
      <c r="AB104" s="399">
        <v>0</v>
      </c>
      <c r="AC104" s="399">
        <v>0</v>
      </c>
      <c r="AD104" s="399">
        <v>1815.2497951812506</v>
      </c>
      <c r="AE104" s="399">
        <v>5138.1204352778586</v>
      </c>
      <c r="AF104" s="399">
        <v>4283.5256194706508</v>
      </c>
      <c r="AG104" s="399">
        <v>89.56734841646869</v>
      </c>
      <c r="AH104" s="399">
        <v>0</v>
      </c>
      <c r="AI104" s="399">
        <v>0</v>
      </c>
      <c r="AJ104" s="399">
        <v>0</v>
      </c>
      <c r="AK104" s="399">
        <v>0</v>
      </c>
      <c r="AL104" s="399">
        <v>191.84730776760088</v>
      </c>
      <c r="AM104" s="399"/>
      <c r="AN104" s="399">
        <v>23.929426359952494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43.735917656470754</v>
      </c>
      <c r="BH104" s="399">
        <v>0</v>
      </c>
      <c r="BI104" s="399">
        <v>0</v>
      </c>
      <c r="BJ104" s="399">
        <v>0</v>
      </c>
      <c r="BK104" s="399">
        <v>4678.1400000000003</v>
      </c>
      <c r="BL104" s="399">
        <v>4</v>
      </c>
      <c r="BM104" s="399"/>
      <c r="BN104" s="399"/>
      <c r="BO104" s="399"/>
      <c r="BP104" s="399"/>
      <c r="BQ104" s="399">
        <v>668.91161760000125</v>
      </c>
      <c r="BR104" s="399"/>
      <c r="BS104" s="399"/>
      <c r="BT104" s="399"/>
      <c r="BU104" s="399"/>
      <c r="BV104" s="399">
        <v>4327.2615371271213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10477.114000000001</v>
      </c>
      <c r="CJ104" s="399">
        <v>-1580.7590440000004</v>
      </c>
      <c r="CK104" s="399"/>
      <c r="CL104" s="399"/>
      <c r="CM104" s="399"/>
      <c r="CN104" s="399"/>
      <c r="CO104" s="399">
        <v>-2231.3719600000004</v>
      </c>
      <c r="CP104" s="399">
        <v>552.40632000000016</v>
      </c>
      <c r="CQ104" s="399">
        <v>30</v>
      </c>
      <c r="CR104" s="399">
        <v>575.45157627190838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75.554657331084172</v>
      </c>
      <c r="DA104" s="399">
        <v>0</v>
      </c>
      <c r="DB104" s="399">
        <v>0</v>
      </c>
      <c r="DC104" s="399">
        <v>552.39585474878641</v>
      </c>
      <c r="DD104" s="399">
        <v>0</v>
      </c>
      <c r="DE104" s="399">
        <v>0</v>
      </c>
      <c r="DF104" s="399">
        <v>0</v>
      </c>
      <c r="DG104" s="399">
        <v>5.6401062496866246</v>
      </c>
      <c r="DH104" s="399">
        <v>0</v>
      </c>
      <c r="DI104" s="399">
        <v>-50.479121864819945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-6.0998884722451976</v>
      </c>
      <c r="DP104" s="399">
        <v>-1.5600317205829235</v>
      </c>
      <c r="DQ104" s="399">
        <v>0</v>
      </c>
      <c r="DR104" s="399">
        <v>0</v>
      </c>
      <c r="DS104" s="399"/>
      <c r="DT104" s="399"/>
      <c r="DU104" s="399"/>
      <c r="DV104" s="399">
        <v>5138.1204352778586</v>
      </c>
      <c r="DW104" s="399">
        <v>0</v>
      </c>
      <c r="DX104" s="399">
        <v>0</v>
      </c>
      <c r="DY104" s="399">
        <v>-2231.3719600000013</v>
      </c>
      <c r="DZ104" s="399">
        <v>552.40632000000005</v>
      </c>
      <c r="EA104" s="399">
        <v>0</v>
      </c>
      <c r="EB104" s="399">
        <v>0</v>
      </c>
      <c r="EC104" s="399">
        <v>-2254.4649539292691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216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954</v>
      </c>
      <c r="C105" s="399" t="s">
        <v>2352</v>
      </c>
      <c r="D105" s="399" t="s">
        <v>1824</v>
      </c>
      <c r="E105" s="399" t="s">
        <v>2369</v>
      </c>
      <c r="F105" s="399" t="s">
        <v>1237</v>
      </c>
      <c r="G105" s="399" t="s">
        <v>1237</v>
      </c>
      <c r="H105" s="399" t="s">
        <v>1237</v>
      </c>
      <c r="I105" s="399" t="s">
        <v>1237</v>
      </c>
      <c r="J105" s="399" t="s">
        <v>2353</v>
      </c>
      <c r="K105" s="789">
        <v>44501</v>
      </c>
      <c r="L105" s="399">
        <v>0</v>
      </c>
      <c r="M105" s="399">
        <v>0</v>
      </c>
      <c r="N105" s="399">
        <v>1.3919999999999999</v>
      </c>
      <c r="O105" s="399">
        <v>1.3919999999999999</v>
      </c>
      <c r="P105" s="399">
        <v>1.3919999999999999</v>
      </c>
      <c r="Q105" s="399">
        <v>1.3919999999999999</v>
      </c>
      <c r="R105" s="399"/>
      <c r="S105" s="399">
        <v>415.98</v>
      </c>
      <c r="T105" s="399">
        <v>215.17</v>
      </c>
      <c r="U105" s="399"/>
      <c r="V105" s="399">
        <v>878.56079999999997</v>
      </c>
      <c r="W105" s="399">
        <v>878.56079999999997</v>
      </c>
      <c r="X105" s="399">
        <v>763.56767999999988</v>
      </c>
      <c r="Y105" s="399">
        <v>0</v>
      </c>
      <c r="Z105" s="399">
        <v>85.032544547108586</v>
      </c>
      <c r="AA105" s="399">
        <v>0</v>
      </c>
      <c r="AB105" s="399">
        <v>0</v>
      </c>
      <c r="AC105" s="399">
        <v>0</v>
      </c>
      <c r="AD105" s="399">
        <v>124.32728374789906</v>
      </c>
      <c r="AE105" s="399">
        <v>351.91220458112468</v>
      </c>
      <c r="AF105" s="399">
        <v>293.38061711784809</v>
      </c>
      <c r="AG105" s="399">
        <v>6.134508413487719</v>
      </c>
      <c r="AH105" s="399">
        <v>0</v>
      </c>
      <c r="AI105" s="399">
        <v>0</v>
      </c>
      <c r="AJ105" s="399">
        <v>0</v>
      </c>
      <c r="AK105" s="399">
        <v>0</v>
      </c>
      <c r="AL105" s="399">
        <v>13.139709329487324</v>
      </c>
      <c r="AM105" s="399"/>
      <c r="AN105" s="399">
        <v>1.6389372905458506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2.9954928841668611</v>
      </c>
      <c r="BH105" s="399">
        <v>0</v>
      </c>
      <c r="BI105" s="399">
        <v>0</v>
      </c>
      <c r="BJ105" s="399">
        <v>0</v>
      </c>
      <c r="BK105" s="399">
        <v>320.39999999999998</v>
      </c>
      <c r="BL105" s="399">
        <v>1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296.37611000201497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762.47059999999988</v>
      </c>
      <c r="CJ105" s="399">
        <v>-116.12020000000007</v>
      </c>
      <c r="CK105" s="399"/>
      <c r="CL105" s="399"/>
      <c r="CM105" s="399"/>
      <c r="CN105" s="399"/>
      <c r="CO105" s="399">
        <v>-152.82768000000002</v>
      </c>
      <c r="CP105" s="399">
        <v>37.83456000000001</v>
      </c>
      <c r="CQ105" s="399">
        <v>30</v>
      </c>
      <c r="CR105" s="399">
        <v>39.412940079241366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5.1747728303911344</v>
      </c>
      <c r="DA105" s="399">
        <v>0</v>
      </c>
      <c r="DB105" s="399">
        <v>0</v>
      </c>
      <c r="DC105" s="399">
        <v>37.833843230186574</v>
      </c>
      <c r="DD105" s="399">
        <v>0</v>
      </c>
      <c r="DE105" s="399">
        <v>0</v>
      </c>
      <c r="DF105" s="399">
        <v>0</v>
      </c>
      <c r="DG105" s="399">
        <v>0.38629344123025833</v>
      </c>
      <c r="DH105" s="399">
        <v>0</v>
      </c>
      <c r="DI105" s="399">
        <v>-3.4573380060927832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-0.41778413468634668</v>
      </c>
      <c r="DP105" s="399">
        <v>-0.10684728178761227</v>
      </c>
      <c r="DQ105" s="399">
        <v>0</v>
      </c>
      <c r="DR105" s="399">
        <v>0</v>
      </c>
      <c r="DS105" s="399"/>
      <c r="DT105" s="399"/>
      <c r="DU105" s="399"/>
      <c r="DV105" s="399">
        <v>351.91220458112468</v>
      </c>
      <c r="DW105" s="399">
        <v>0</v>
      </c>
      <c r="DX105" s="399">
        <v>0</v>
      </c>
      <c r="DY105" s="399">
        <v>-152.82768000000004</v>
      </c>
      <c r="DZ105" s="399">
        <v>37.83456000000001</v>
      </c>
      <c r="EA105" s="399">
        <v>0</v>
      </c>
      <c r="EB105" s="399">
        <v>0</v>
      </c>
      <c r="EC105" s="399">
        <v>-154.40932965309693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216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954</v>
      </c>
      <c r="C106" s="399" t="s">
        <v>2352</v>
      </c>
      <c r="D106" s="399" t="s">
        <v>2363</v>
      </c>
      <c r="E106" s="399" t="s">
        <v>892</v>
      </c>
      <c r="F106" s="399" t="s">
        <v>2370</v>
      </c>
      <c r="G106" s="399" t="s">
        <v>2371</v>
      </c>
      <c r="H106" s="399" t="s">
        <v>1237</v>
      </c>
      <c r="I106" s="399" t="s">
        <v>1237</v>
      </c>
      <c r="J106" s="399" t="s">
        <v>2353</v>
      </c>
      <c r="K106" s="789">
        <v>44501</v>
      </c>
      <c r="L106" s="399">
        <v>0</v>
      </c>
      <c r="M106" s="399">
        <v>0</v>
      </c>
      <c r="N106" s="399">
        <v>0</v>
      </c>
      <c r="O106" s="399">
        <v>0</v>
      </c>
      <c r="P106" s="399">
        <v>0</v>
      </c>
      <c r="Q106" s="399">
        <v>0</v>
      </c>
      <c r="R106" s="399"/>
      <c r="S106" s="399"/>
      <c r="T106" s="399"/>
      <c r="U106" s="399"/>
      <c r="V106" s="399"/>
      <c r="W106" s="399"/>
      <c r="X106" s="399"/>
      <c r="Y106" s="399"/>
      <c r="Z106" s="399"/>
      <c r="AA106" s="399">
        <v>0</v>
      </c>
      <c r="AB106" s="399"/>
      <c r="AC106" s="399"/>
      <c r="AD106" s="399"/>
      <c r="AE106" s="399"/>
      <c r="AF106" s="399"/>
      <c r="AG106" s="399"/>
      <c r="AH106" s="399"/>
      <c r="AI106" s="399"/>
      <c r="AJ106" s="399"/>
      <c r="AK106" s="399"/>
      <c r="AL106" s="399"/>
      <c r="AM106" s="399"/>
      <c r="AN106" s="399"/>
      <c r="AO106" s="399"/>
      <c r="AP106" s="399"/>
      <c r="AQ106" s="399"/>
      <c r="AR106" s="399"/>
      <c r="AS106" s="399"/>
      <c r="AT106" s="399"/>
      <c r="AU106" s="399"/>
      <c r="AV106" s="399"/>
      <c r="AW106" s="399"/>
      <c r="AX106" s="399"/>
      <c r="AY106" s="399"/>
      <c r="AZ106" s="399">
        <v>0</v>
      </c>
      <c r="BA106" s="399"/>
      <c r="BB106" s="399"/>
      <c r="BC106" s="399"/>
      <c r="BD106" s="399"/>
      <c r="BE106" s="399"/>
      <c r="BF106" s="399"/>
      <c r="BG106" s="399"/>
      <c r="BH106" s="399"/>
      <c r="BI106" s="399">
        <v>0</v>
      </c>
      <c r="BJ106" s="399">
        <v>0</v>
      </c>
      <c r="BK106" s="399">
        <v>4581.5</v>
      </c>
      <c r="BL106" s="399">
        <v>39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/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/>
      <c r="CJ106" s="399">
        <v>-0.03</v>
      </c>
      <c r="CK106" s="399"/>
      <c r="CL106" s="399"/>
      <c r="CM106" s="399"/>
      <c r="CN106" s="399"/>
      <c r="CO106" s="399">
        <v>0</v>
      </c>
      <c r="CP106" s="399">
        <v>0</v>
      </c>
      <c r="CQ106" s="399">
        <v>30</v>
      </c>
      <c r="CR106" s="399"/>
      <c r="CS106" s="399"/>
      <c r="CT106" s="399"/>
      <c r="CU106" s="399"/>
      <c r="CV106" s="399"/>
      <c r="CW106" s="399"/>
      <c r="CX106" s="399"/>
      <c r="CY106" s="399"/>
      <c r="CZ106" s="399"/>
      <c r="DA106" s="399"/>
      <c r="DB106" s="399"/>
      <c r="DC106" s="399"/>
      <c r="DD106" s="399"/>
      <c r="DE106" s="399"/>
      <c r="DF106" s="399"/>
      <c r="DG106" s="399"/>
      <c r="DH106" s="399"/>
      <c r="DI106" s="399"/>
      <c r="DJ106" s="399"/>
      <c r="DK106" s="399">
        <v>0</v>
      </c>
      <c r="DL106" s="399"/>
      <c r="DM106" s="399"/>
      <c r="DN106" s="399"/>
      <c r="DO106" s="399"/>
      <c r="DP106" s="399"/>
      <c r="DQ106" s="399"/>
      <c r="DR106" s="399"/>
      <c r="DS106" s="399"/>
      <c r="DT106" s="399"/>
      <c r="DU106" s="399"/>
      <c r="DV106" s="399"/>
      <c r="DW106" s="399"/>
      <c r="DX106" s="399"/>
      <c r="DY106" s="399"/>
      <c r="DZ106" s="399"/>
      <c r="EA106" s="399"/>
      <c r="EB106" s="399"/>
      <c r="EC106" s="399"/>
      <c r="ED106" s="399"/>
      <c r="EE106" s="399"/>
      <c r="EF106" s="399"/>
      <c r="EG106" s="399"/>
      <c r="EH106" s="399"/>
      <c r="EI106" s="399"/>
      <c r="EJ106" s="399"/>
      <c r="EK106" s="399"/>
      <c r="EL106" s="399"/>
      <c r="EM106" s="399"/>
      <c r="EN106" s="399"/>
      <c r="EO106" s="399"/>
      <c r="EP106" s="399"/>
      <c r="EQ106" s="399"/>
      <c r="ER106" s="399"/>
      <c r="ES106" s="399"/>
      <c r="ET106" s="399"/>
      <c r="EU106" s="399"/>
      <c r="EV106" s="399">
        <v>216</v>
      </c>
      <c r="EW106" s="399"/>
      <c r="EX106" s="399"/>
      <c r="EY106" s="399"/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954</v>
      </c>
      <c r="C107" s="399" t="s">
        <v>2352</v>
      </c>
      <c r="D107" s="399" t="s">
        <v>2363</v>
      </c>
      <c r="E107" s="399" t="s">
        <v>892</v>
      </c>
      <c r="F107" s="399" t="s">
        <v>2370</v>
      </c>
      <c r="G107" s="399" t="s">
        <v>2371</v>
      </c>
      <c r="H107" s="399" t="s">
        <v>1237</v>
      </c>
      <c r="I107" s="399" t="s">
        <v>1237</v>
      </c>
      <c r="J107" s="399" t="s">
        <v>2353</v>
      </c>
      <c r="K107" s="789">
        <v>44501</v>
      </c>
      <c r="L107" s="399">
        <v>0</v>
      </c>
      <c r="M107" s="399">
        <v>0</v>
      </c>
      <c r="N107" s="399">
        <v>11.58</v>
      </c>
      <c r="O107" s="399">
        <v>11.58</v>
      </c>
      <c r="P107" s="399">
        <v>11.58</v>
      </c>
      <c r="Q107" s="399">
        <v>11.58</v>
      </c>
      <c r="R107" s="399"/>
      <c r="S107" s="399">
        <v>415.98</v>
      </c>
      <c r="T107" s="399">
        <v>215.17</v>
      </c>
      <c r="U107" s="399"/>
      <c r="V107" s="399">
        <v>7308.7170000000006</v>
      </c>
      <c r="W107" s="399">
        <v>7308.7170000000006</v>
      </c>
      <c r="X107" s="399">
        <v>6352.0931999999993</v>
      </c>
      <c r="Y107" s="399">
        <v>0</v>
      </c>
      <c r="Z107" s="399">
        <v>707.38280593068782</v>
      </c>
      <c r="AA107" s="399">
        <v>0</v>
      </c>
      <c r="AB107" s="399">
        <v>0</v>
      </c>
      <c r="AC107" s="399">
        <v>0</v>
      </c>
      <c r="AD107" s="399">
        <v>1034.2743863510568</v>
      </c>
      <c r="AE107" s="399">
        <v>2927.5454950067701</v>
      </c>
      <c r="AF107" s="399">
        <v>2440.6232372303743</v>
      </c>
      <c r="AG107" s="399">
        <v>51.032763957031463</v>
      </c>
      <c r="AH107" s="399">
        <v>0</v>
      </c>
      <c r="AI107" s="399">
        <v>0</v>
      </c>
      <c r="AJ107" s="399">
        <v>0</v>
      </c>
      <c r="AK107" s="399">
        <v>0</v>
      </c>
      <c r="AL107" s="399">
        <v>109.30878881857991</v>
      </c>
      <c r="AM107" s="399"/>
      <c r="AN107" s="399">
        <v>13.634262804971948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24.919402010526046</v>
      </c>
      <c r="BH107" s="399">
        <v>0</v>
      </c>
      <c r="BI107" s="399">
        <v>0</v>
      </c>
      <c r="BJ107" s="399">
        <v>0</v>
      </c>
      <c r="BK107" s="399">
        <v>0</v>
      </c>
      <c r="BL107" s="399">
        <v>0</v>
      </c>
      <c r="BM107" s="399"/>
      <c r="BN107" s="399"/>
      <c r="BO107" s="399"/>
      <c r="BP107" s="399"/>
      <c r="BQ107" s="399"/>
      <c r="BR107" s="399">
        <v>762.19560000000001</v>
      </c>
      <c r="BS107" s="399"/>
      <c r="BT107" s="399"/>
      <c r="BU107" s="399"/>
      <c r="BV107" s="399">
        <v>2465.5426392409004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5589.8976000000002</v>
      </c>
      <c r="CJ107" s="399">
        <v>-841.78020000000015</v>
      </c>
      <c r="CK107" s="399"/>
      <c r="CL107" s="399"/>
      <c r="CM107" s="399"/>
      <c r="CN107" s="399"/>
      <c r="CO107" s="399">
        <v>-1271.3682000000003</v>
      </c>
      <c r="CP107" s="399">
        <v>314.7444000000001</v>
      </c>
      <c r="CQ107" s="399">
        <v>30</v>
      </c>
      <c r="CR107" s="399">
        <v>327.87488945230962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43.048756735581492</v>
      </c>
      <c r="DA107" s="399">
        <v>0</v>
      </c>
      <c r="DB107" s="399">
        <v>0</v>
      </c>
      <c r="DC107" s="399">
        <v>314.73843721663798</v>
      </c>
      <c r="DD107" s="399">
        <v>0</v>
      </c>
      <c r="DE107" s="399">
        <v>0</v>
      </c>
      <c r="DF107" s="399">
        <v>0</v>
      </c>
      <c r="DG107" s="399">
        <v>3.2135618171310298</v>
      </c>
      <c r="DH107" s="399">
        <v>0</v>
      </c>
      <c r="DI107" s="399">
        <v>-28.761475654133847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-3.4755318101062613</v>
      </c>
      <c r="DP107" s="399">
        <v>-0.88885885280211951</v>
      </c>
      <c r="DQ107" s="399">
        <v>0</v>
      </c>
      <c r="DR107" s="399">
        <v>0</v>
      </c>
      <c r="DS107" s="399"/>
      <c r="DT107" s="399"/>
      <c r="DU107" s="399"/>
      <c r="DV107" s="399">
        <v>2927.5454950067701</v>
      </c>
      <c r="DW107" s="399">
        <v>0</v>
      </c>
      <c r="DX107" s="399">
        <v>0</v>
      </c>
      <c r="DY107" s="399">
        <v>-1271.3682000000008</v>
      </c>
      <c r="DZ107" s="399">
        <v>314.74440000000004</v>
      </c>
      <c r="EA107" s="399">
        <v>0</v>
      </c>
      <c r="EB107" s="399">
        <v>0</v>
      </c>
      <c r="EC107" s="399">
        <v>-1284.5258889244701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216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954</v>
      </c>
      <c r="C108" s="399" t="s">
        <v>2352</v>
      </c>
      <c r="D108" s="399" t="s">
        <v>2363</v>
      </c>
      <c r="E108" s="399" t="s">
        <v>892</v>
      </c>
      <c r="F108" s="399" t="s">
        <v>2370</v>
      </c>
      <c r="G108" s="399" t="s">
        <v>2372</v>
      </c>
      <c r="H108" s="399" t="s">
        <v>1237</v>
      </c>
      <c r="I108" s="399" t="s">
        <v>1237</v>
      </c>
      <c r="J108" s="399" t="s">
        <v>2353</v>
      </c>
      <c r="K108" s="789">
        <v>44501</v>
      </c>
      <c r="L108" s="399">
        <v>0</v>
      </c>
      <c r="M108" s="399">
        <v>0</v>
      </c>
      <c r="N108" s="399">
        <v>14.744</v>
      </c>
      <c r="O108" s="399">
        <v>5.8975999999999997</v>
      </c>
      <c r="P108" s="399">
        <v>14.744</v>
      </c>
      <c r="Q108" s="399">
        <v>5.8975999999999997</v>
      </c>
      <c r="R108" s="399"/>
      <c r="S108" s="399">
        <v>415.98</v>
      </c>
      <c r="T108" s="399">
        <v>215.17</v>
      </c>
      <c r="U108" s="399"/>
      <c r="V108" s="399">
        <v>9305.6756000000005</v>
      </c>
      <c r="W108" s="399">
        <v>9305.6756000000005</v>
      </c>
      <c r="X108" s="399">
        <v>8087.6737599999997</v>
      </c>
      <c r="Y108" s="399">
        <v>0</v>
      </c>
      <c r="Z108" s="399">
        <v>900.6608023006961</v>
      </c>
      <c r="AA108" s="399">
        <v>0</v>
      </c>
      <c r="AB108" s="399">
        <v>0</v>
      </c>
      <c r="AC108" s="399">
        <v>0</v>
      </c>
      <c r="AD108" s="399">
        <v>1316.868873260793</v>
      </c>
      <c r="AE108" s="399">
        <v>3727.4378910517976</v>
      </c>
      <c r="AF108" s="399">
        <v>3107.474007748242</v>
      </c>
      <c r="AG108" s="399">
        <v>64.976431069298087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139.17519709336287</v>
      </c>
      <c r="AM108" s="399"/>
      <c r="AN108" s="399">
        <v>17.359548428023004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31.728122905284629</v>
      </c>
      <c r="BH108" s="399">
        <v>0</v>
      </c>
      <c r="BI108" s="399">
        <v>0</v>
      </c>
      <c r="BJ108" s="399">
        <v>0</v>
      </c>
      <c r="BK108" s="399">
        <v>0</v>
      </c>
      <c r="BL108" s="399">
        <v>0</v>
      </c>
      <c r="BM108" s="399"/>
      <c r="BN108" s="399"/>
      <c r="BO108" s="399"/>
      <c r="BP108" s="399"/>
      <c r="BQ108" s="399"/>
      <c r="BR108" s="399"/>
      <c r="BS108" s="399">
        <v>5240.7842879999989</v>
      </c>
      <c r="BT108" s="399"/>
      <c r="BU108" s="399"/>
      <c r="BV108" s="399">
        <v>3139.2021306535266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2848.0480000000002</v>
      </c>
      <c r="CJ108" s="399">
        <v>-427.56801600000017</v>
      </c>
      <c r="CK108" s="399"/>
      <c r="CL108" s="399"/>
      <c r="CM108" s="399"/>
      <c r="CN108" s="399"/>
      <c r="CO108" s="399">
        <v>-1618.7437600000003</v>
      </c>
      <c r="CP108" s="399">
        <v>400.74192000000011</v>
      </c>
      <c r="CQ108" s="399">
        <v>30</v>
      </c>
      <c r="CR108" s="399">
        <v>417.46004923012424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54.81095589891288</v>
      </c>
      <c r="DA108" s="399">
        <v>0</v>
      </c>
      <c r="DB108" s="399">
        <v>0</v>
      </c>
      <c r="DC108" s="399">
        <v>400.73432800709043</v>
      </c>
      <c r="DD108" s="399">
        <v>0</v>
      </c>
      <c r="DE108" s="399">
        <v>0</v>
      </c>
      <c r="DF108" s="399">
        <v>0</v>
      </c>
      <c r="DG108" s="399">
        <v>4.0916023688929073</v>
      </c>
      <c r="DH108" s="399">
        <v>0</v>
      </c>
      <c r="DI108" s="399">
        <v>-36.619965202465437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-4.4251503461318293</v>
      </c>
      <c r="DP108" s="399">
        <v>-1.1317214961756861</v>
      </c>
      <c r="DQ108" s="399">
        <v>0</v>
      </c>
      <c r="DR108" s="399">
        <v>0</v>
      </c>
      <c r="DS108" s="399"/>
      <c r="DT108" s="399"/>
      <c r="DU108" s="399"/>
      <c r="DV108" s="399">
        <v>3727.4378910517976</v>
      </c>
      <c r="DW108" s="399">
        <v>0</v>
      </c>
      <c r="DX108" s="399">
        <v>0</v>
      </c>
      <c r="DY108" s="399">
        <v>-1618.7437600000003</v>
      </c>
      <c r="DZ108" s="399">
        <v>400.74192000000039</v>
      </c>
      <c r="EA108" s="399">
        <v>0</v>
      </c>
      <c r="EB108" s="399">
        <v>0</v>
      </c>
      <c r="EC108" s="399">
        <v>-1635.4965204060782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216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954</v>
      </c>
      <c r="C109" s="399" t="s">
        <v>2352</v>
      </c>
      <c r="D109" s="399" t="s">
        <v>2363</v>
      </c>
      <c r="E109" s="399" t="s">
        <v>892</v>
      </c>
      <c r="F109" s="399" t="s">
        <v>2373</v>
      </c>
      <c r="G109" s="399" t="s">
        <v>2371</v>
      </c>
      <c r="H109" s="399" t="s">
        <v>1237</v>
      </c>
      <c r="I109" s="399" t="s">
        <v>1237</v>
      </c>
      <c r="J109" s="399" t="s">
        <v>2353</v>
      </c>
      <c r="K109" s="789">
        <v>44501</v>
      </c>
      <c r="L109" s="399">
        <v>0</v>
      </c>
      <c r="M109" s="399">
        <v>0</v>
      </c>
      <c r="N109" s="399">
        <v>0</v>
      </c>
      <c r="O109" s="399">
        <v>0</v>
      </c>
      <c r="P109" s="399">
        <v>0</v>
      </c>
      <c r="Q109" s="399">
        <v>0</v>
      </c>
      <c r="R109" s="399"/>
      <c r="S109" s="399"/>
      <c r="T109" s="399"/>
      <c r="U109" s="399"/>
      <c r="V109" s="399"/>
      <c r="W109" s="399"/>
      <c r="X109" s="399"/>
      <c r="Y109" s="399"/>
      <c r="Z109" s="399"/>
      <c r="AA109" s="399">
        <v>0</v>
      </c>
      <c r="AB109" s="399"/>
      <c r="AC109" s="399"/>
      <c r="AD109" s="399"/>
      <c r="AE109" s="399"/>
      <c r="AF109" s="399"/>
      <c r="AG109" s="399"/>
      <c r="AH109" s="399"/>
      <c r="AI109" s="399"/>
      <c r="AJ109" s="399"/>
      <c r="AK109" s="399"/>
      <c r="AL109" s="399"/>
      <c r="AM109" s="399"/>
      <c r="AN109" s="399"/>
      <c r="AO109" s="399"/>
      <c r="AP109" s="399"/>
      <c r="AQ109" s="399"/>
      <c r="AR109" s="399"/>
      <c r="AS109" s="399"/>
      <c r="AT109" s="399"/>
      <c r="AU109" s="399"/>
      <c r="AV109" s="399"/>
      <c r="AW109" s="399"/>
      <c r="AX109" s="399"/>
      <c r="AY109" s="399"/>
      <c r="AZ109" s="399">
        <v>0</v>
      </c>
      <c r="BA109" s="399"/>
      <c r="BB109" s="399"/>
      <c r="BC109" s="399"/>
      <c r="BD109" s="399"/>
      <c r="BE109" s="399"/>
      <c r="BF109" s="399"/>
      <c r="BG109" s="399"/>
      <c r="BH109" s="399"/>
      <c r="BI109" s="399">
        <v>0</v>
      </c>
      <c r="BJ109" s="399">
        <v>0</v>
      </c>
      <c r="BK109" s="399">
        <v>375.15</v>
      </c>
      <c r="BL109" s="399">
        <v>2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/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/>
      <c r="CJ109" s="399">
        <v>-0.03</v>
      </c>
      <c r="CK109" s="399"/>
      <c r="CL109" s="399"/>
      <c r="CM109" s="399"/>
      <c r="CN109" s="399"/>
      <c r="CO109" s="399">
        <v>0</v>
      </c>
      <c r="CP109" s="399">
        <v>0</v>
      </c>
      <c r="CQ109" s="399">
        <v>30</v>
      </c>
      <c r="CR109" s="399"/>
      <c r="CS109" s="399"/>
      <c r="CT109" s="399"/>
      <c r="CU109" s="399"/>
      <c r="CV109" s="399"/>
      <c r="CW109" s="399"/>
      <c r="CX109" s="399"/>
      <c r="CY109" s="399"/>
      <c r="CZ109" s="399"/>
      <c r="DA109" s="399"/>
      <c r="DB109" s="399"/>
      <c r="DC109" s="399"/>
      <c r="DD109" s="399"/>
      <c r="DE109" s="399"/>
      <c r="DF109" s="399"/>
      <c r="DG109" s="399"/>
      <c r="DH109" s="399"/>
      <c r="DI109" s="399"/>
      <c r="DJ109" s="399"/>
      <c r="DK109" s="399">
        <v>0</v>
      </c>
      <c r="DL109" s="399"/>
      <c r="DM109" s="399"/>
      <c r="DN109" s="399"/>
      <c r="DO109" s="399"/>
      <c r="DP109" s="399"/>
      <c r="DQ109" s="399"/>
      <c r="DR109" s="399"/>
      <c r="DS109" s="399"/>
      <c r="DT109" s="399"/>
      <c r="DU109" s="399"/>
      <c r="DV109" s="399"/>
      <c r="DW109" s="399"/>
      <c r="DX109" s="399"/>
      <c r="DY109" s="399"/>
      <c r="DZ109" s="399"/>
      <c r="EA109" s="399"/>
      <c r="EB109" s="399"/>
      <c r="EC109" s="399"/>
      <c r="ED109" s="399"/>
      <c r="EE109" s="399"/>
      <c r="EF109" s="399"/>
      <c r="EG109" s="399"/>
      <c r="EH109" s="399"/>
      <c r="EI109" s="399"/>
      <c r="EJ109" s="399"/>
      <c r="EK109" s="399"/>
      <c r="EL109" s="399"/>
      <c r="EM109" s="399"/>
      <c r="EN109" s="399"/>
      <c r="EO109" s="399"/>
      <c r="EP109" s="399"/>
      <c r="EQ109" s="399"/>
      <c r="ER109" s="399"/>
      <c r="ES109" s="399"/>
      <c r="ET109" s="399"/>
      <c r="EU109" s="399"/>
      <c r="EV109" s="399">
        <v>216</v>
      </c>
      <c r="EW109" s="399"/>
      <c r="EX109" s="399"/>
      <c r="EY109" s="399"/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954</v>
      </c>
      <c r="C110" s="399" t="s">
        <v>2352</v>
      </c>
      <c r="D110" s="399" t="s">
        <v>2363</v>
      </c>
      <c r="E110" s="399" t="s">
        <v>892</v>
      </c>
      <c r="F110" s="399" t="s">
        <v>2373</v>
      </c>
      <c r="G110" s="399" t="s">
        <v>2371</v>
      </c>
      <c r="H110" s="399" t="s">
        <v>1237</v>
      </c>
      <c r="I110" s="399" t="s">
        <v>1237</v>
      </c>
      <c r="J110" s="399" t="s">
        <v>2353</v>
      </c>
      <c r="K110" s="789">
        <v>44501</v>
      </c>
      <c r="L110" s="399">
        <v>0</v>
      </c>
      <c r="M110" s="399">
        <v>0</v>
      </c>
      <c r="N110" s="399">
        <v>0.47499999999999998</v>
      </c>
      <c r="O110" s="399">
        <v>0.47499999999999998</v>
      </c>
      <c r="P110" s="399">
        <v>0.47499999999999998</v>
      </c>
      <c r="Q110" s="399">
        <v>0.47499999999999998</v>
      </c>
      <c r="R110" s="399"/>
      <c r="S110" s="399">
        <v>415.98</v>
      </c>
      <c r="T110" s="399">
        <v>215.17</v>
      </c>
      <c r="U110" s="399"/>
      <c r="V110" s="399">
        <v>299.79624999999999</v>
      </c>
      <c r="W110" s="399">
        <v>299.79624999999999</v>
      </c>
      <c r="X110" s="399">
        <v>260.55649999999997</v>
      </c>
      <c r="Y110" s="399">
        <v>0</v>
      </c>
      <c r="Z110" s="399">
        <v>29.01613409473892</v>
      </c>
      <c r="AA110" s="399">
        <v>0</v>
      </c>
      <c r="AB110" s="399">
        <v>0</v>
      </c>
      <c r="AC110" s="399">
        <v>0</v>
      </c>
      <c r="AD110" s="399">
        <v>42.424899267422454</v>
      </c>
      <c r="AE110" s="399">
        <v>120.08498360347286</v>
      </c>
      <c r="AF110" s="399">
        <v>100.11192035271398</v>
      </c>
      <c r="AG110" s="399">
        <v>2.0933128566139847</v>
      </c>
      <c r="AH110" s="399">
        <v>0</v>
      </c>
      <c r="AI110" s="399">
        <v>0</v>
      </c>
      <c r="AJ110" s="399">
        <v>0</v>
      </c>
      <c r="AK110" s="399">
        <v>0</v>
      </c>
      <c r="AL110" s="399">
        <v>4.4837370197604018</v>
      </c>
      <c r="AM110" s="399"/>
      <c r="AN110" s="399">
        <v>0.55926380244919471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1.022168908031077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>
        <v>31.264499999999995</v>
      </c>
      <c r="BS110" s="399"/>
      <c r="BT110" s="399"/>
      <c r="BU110" s="399"/>
      <c r="BV110" s="399">
        <v>101.13408926074506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231.7056</v>
      </c>
      <c r="CJ110" s="399">
        <v>-32.144149999999968</v>
      </c>
      <c r="CK110" s="399"/>
      <c r="CL110" s="399"/>
      <c r="CM110" s="399"/>
      <c r="CN110" s="399"/>
      <c r="CO110" s="399">
        <v>-52.150250000000007</v>
      </c>
      <c r="CP110" s="399">
        <v>12.910500000000003</v>
      </c>
      <c r="CQ110" s="399">
        <v>30</v>
      </c>
      <c r="CR110" s="399">
        <v>13.449099524166314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1.7658168781866266</v>
      </c>
      <c r="DA110" s="399">
        <v>0</v>
      </c>
      <c r="DB110" s="399">
        <v>0</v>
      </c>
      <c r="DC110" s="399">
        <v>12.910255412599568</v>
      </c>
      <c r="DD110" s="399">
        <v>0</v>
      </c>
      <c r="DE110" s="399">
        <v>0</v>
      </c>
      <c r="DF110" s="399">
        <v>0</v>
      </c>
      <c r="DG110" s="399">
        <v>0.13181708662670455</v>
      </c>
      <c r="DH110" s="399">
        <v>0</v>
      </c>
      <c r="DI110" s="399">
        <v>-1.1797669201825194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-0.14256283331610309</v>
      </c>
      <c r="DP110" s="399">
        <v>-3.6460099747928076E-2</v>
      </c>
      <c r="DQ110" s="399">
        <v>0</v>
      </c>
      <c r="DR110" s="399">
        <v>0</v>
      </c>
      <c r="DS110" s="399"/>
      <c r="DT110" s="399"/>
      <c r="DU110" s="399"/>
      <c r="DV110" s="399">
        <v>120.08498360347286</v>
      </c>
      <c r="DW110" s="399">
        <v>0</v>
      </c>
      <c r="DX110" s="399">
        <v>0</v>
      </c>
      <c r="DY110" s="399">
        <v>-52.15025</v>
      </c>
      <c r="DZ110" s="399">
        <v>12.910499999999999</v>
      </c>
      <c r="EA110" s="399">
        <v>0</v>
      </c>
      <c r="EB110" s="399">
        <v>0</v>
      </c>
      <c r="EC110" s="399">
        <v>-52.689965219267989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216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954</v>
      </c>
      <c r="C111" s="399" t="s">
        <v>2352</v>
      </c>
      <c r="D111" s="399" t="s">
        <v>2363</v>
      </c>
      <c r="E111" s="399" t="s">
        <v>892</v>
      </c>
      <c r="F111" s="399" t="s">
        <v>2373</v>
      </c>
      <c r="G111" s="399" t="s">
        <v>2372</v>
      </c>
      <c r="H111" s="399" t="s">
        <v>1237</v>
      </c>
      <c r="I111" s="399" t="s">
        <v>1237</v>
      </c>
      <c r="J111" s="399" t="s">
        <v>2353</v>
      </c>
      <c r="K111" s="789">
        <v>44501</v>
      </c>
      <c r="L111" s="399">
        <v>0</v>
      </c>
      <c r="M111" s="399">
        <v>0</v>
      </c>
      <c r="N111" s="399">
        <v>1.6319999999999999</v>
      </c>
      <c r="O111" s="399">
        <v>0.65280000000000005</v>
      </c>
      <c r="P111" s="399">
        <v>1.6319999999999999</v>
      </c>
      <c r="Q111" s="399">
        <v>0.65280000000000005</v>
      </c>
      <c r="R111" s="399"/>
      <c r="S111" s="399">
        <v>415.98</v>
      </c>
      <c r="T111" s="399">
        <v>215.17</v>
      </c>
      <c r="U111" s="399"/>
      <c r="V111" s="399">
        <v>1030.0367999999999</v>
      </c>
      <c r="W111" s="399">
        <v>1030.0367999999999</v>
      </c>
      <c r="X111" s="399">
        <v>895.21727999999996</v>
      </c>
      <c r="Y111" s="399">
        <v>0</v>
      </c>
      <c r="Z111" s="399">
        <v>99.693328089713503</v>
      </c>
      <c r="AA111" s="399">
        <v>0</v>
      </c>
      <c r="AB111" s="399">
        <v>0</v>
      </c>
      <c r="AC111" s="399">
        <v>0</v>
      </c>
      <c r="AD111" s="399">
        <v>145.76302232512302</v>
      </c>
      <c r="AE111" s="399">
        <v>412.58672261235307</v>
      </c>
      <c r="AF111" s="399">
        <v>343.96348213816674</v>
      </c>
      <c r="AG111" s="399">
        <v>7.1921822778821536</v>
      </c>
      <c r="AH111" s="399">
        <v>0</v>
      </c>
      <c r="AI111" s="399">
        <v>0</v>
      </c>
      <c r="AJ111" s="399">
        <v>0</v>
      </c>
      <c r="AK111" s="399">
        <v>0</v>
      </c>
      <c r="AL111" s="399">
        <v>15.405176455261001</v>
      </c>
      <c r="AM111" s="399"/>
      <c r="AN111" s="399">
        <v>1.9215126854675491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3.5119571745404579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>
        <v>580.0976639999999</v>
      </c>
      <c r="BT111" s="399"/>
      <c r="BU111" s="399"/>
      <c r="BV111" s="399">
        <v>347.47543931270718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313.76800000000003</v>
      </c>
      <c r="CJ111" s="399">
        <v>-48.833647999999982</v>
      </c>
      <c r="CK111" s="399"/>
      <c r="CL111" s="399"/>
      <c r="CM111" s="399"/>
      <c r="CN111" s="399"/>
      <c r="CO111" s="399">
        <v>-179.17728000000002</v>
      </c>
      <c r="CP111" s="399">
        <v>44.357760000000006</v>
      </c>
      <c r="CQ111" s="399">
        <v>30</v>
      </c>
      <c r="CR111" s="399">
        <v>46.208274575662244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6.0669750425275311</v>
      </c>
      <c r="DA111" s="399">
        <v>0</v>
      </c>
      <c r="DB111" s="399">
        <v>0</v>
      </c>
      <c r="DC111" s="399">
        <v>44.356919649184192</v>
      </c>
      <c r="DD111" s="399">
        <v>0</v>
      </c>
      <c r="DE111" s="399">
        <v>0</v>
      </c>
      <c r="DF111" s="399">
        <v>0</v>
      </c>
      <c r="DG111" s="399">
        <v>0.4528957586837512</v>
      </c>
      <c r="DH111" s="399">
        <v>0</v>
      </c>
      <c r="DI111" s="399">
        <v>-4.0534307657639346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-0.48981588204606297</v>
      </c>
      <c r="DP111" s="399">
        <v>-0.12526922692340769</v>
      </c>
      <c r="DQ111" s="399">
        <v>0</v>
      </c>
      <c r="DR111" s="399">
        <v>0</v>
      </c>
      <c r="DS111" s="399"/>
      <c r="DT111" s="399"/>
      <c r="DU111" s="399"/>
      <c r="DV111" s="399">
        <v>412.58672261235307</v>
      </c>
      <c r="DW111" s="399">
        <v>0</v>
      </c>
      <c r="DX111" s="399">
        <v>0</v>
      </c>
      <c r="DY111" s="399">
        <v>-179.17728000000005</v>
      </c>
      <c r="DZ111" s="399">
        <v>44.357760000000042</v>
      </c>
      <c r="EA111" s="399">
        <v>0</v>
      </c>
      <c r="EB111" s="399">
        <v>0</v>
      </c>
      <c r="EC111" s="399">
        <v>-181.03162786914811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216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954</v>
      </c>
      <c r="C112" s="399" t="s">
        <v>2352</v>
      </c>
      <c r="D112" s="399" t="s">
        <v>1821</v>
      </c>
      <c r="E112" s="399" t="s">
        <v>887</v>
      </c>
      <c r="F112" s="399" t="s">
        <v>887</v>
      </c>
      <c r="G112" s="399" t="s">
        <v>1237</v>
      </c>
      <c r="H112" s="399" t="s">
        <v>1237</v>
      </c>
      <c r="I112" s="399" t="s">
        <v>1237</v>
      </c>
      <c r="J112" s="399" t="s">
        <v>2353</v>
      </c>
      <c r="K112" s="789">
        <v>44531</v>
      </c>
      <c r="L112" s="399">
        <v>0</v>
      </c>
      <c r="M112" s="399">
        <v>0</v>
      </c>
      <c r="N112" s="399">
        <v>469.399</v>
      </c>
      <c r="O112" s="399">
        <v>469.399</v>
      </c>
      <c r="P112" s="399">
        <v>469.399</v>
      </c>
      <c r="Q112" s="399">
        <v>469.399</v>
      </c>
      <c r="R112" s="399"/>
      <c r="S112" s="399">
        <v>415.98</v>
      </c>
      <c r="T112" s="399">
        <v>215.17</v>
      </c>
      <c r="U112" s="399"/>
      <c r="V112" s="399">
        <v>296261.17885000003</v>
      </c>
      <c r="W112" s="399">
        <v>296261.17885000003</v>
      </c>
      <c r="X112" s="399">
        <v>257484.12745999999</v>
      </c>
      <c r="Y112" s="399">
        <v>0</v>
      </c>
      <c r="Z112" s="399">
        <v>28673.988058813378</v>
      </c>
      <c r="AA112" s="399">
        <v>0</v>
      </c>
      <c r="AB112" s="399">
        <v>0</v>
      </c>
      <c r="AC112" s="399">
        <v>0</v>
      </c>
      <c r="AD112" s="399">
        <v>41924.64271837649</v>
      </c>
      <c r="AE112" s="399">
        <v>118668.99203891908</v>
      </c>
      <c r="AF112" s="399">
        <v>98931.4427403023</v>
      </c>
      <c r="AG112" s="399">
        <v>2068.6293928036798</v>
      </c>
      <c r="AH112" s="399">
        <v>0</v>
      </c>
      <c r="AI112" s="399">
        <v>0</v>
      </c>
      <c r="AJ112" s="399">
        <v>0</v>
      </c>
      <c r="AK112" s="399">
        <v>0</v>
      </c>
      <c r="AL112" s="399">
        <v>4430.8666807126592</v>
      </c>
      <c r="AM112" s="399"/>
      <c r="AN112" s="399">
        <v>552.66919917020959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1010.1159226544831</v>
      </c>
      <c r="BH112" s="399">
        <v>0</v>
      </c>
      <c r="BI112" s="399">
        <v>0</v>
      </c>
      <c r="BJ112" s="399">
        <v>0</v>
      </c>
      <c r="BK112" s="399">
        <v>62756.75</v>
      </c>
      <c r="BL112" s="399">
        <v>2841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99941.558662956784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257484.67599999998</v>
      </c>
      <c r="CJ112" s="399">
        <v>-38776.532850000076</v>
      </c>
      <c r="CK112" s="399"/>
      <c r="CL112" s="399"/>
      <c r="CM112" s="399"/>
      <c r="CN112" s="399"/>
      <c r="CO112" s="399">
        <v>-51535.316210000012</v>
      </c>
      <c r="CP112" s="399">
        <v>12758.264820000004</v>
      </c>
      <c r="CQ112" s="399"/>
      <c r="CR112" s="399">
        <v>13290.51340535612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1744.9951090608956</v>
      </c>
      <c r="DA112" s="399">
        <v>0</v>
      </c>
      <c r="DB112" s="399">
        <v>0</v>
      </c>
      <c r="DC112" s="399">
        <v>12758.023116671204</v>
      </c>
      <c r="DD112" s="399">
        <v>0</v>
      </c>
      <c r="DE112" s="399">
        <v>0</v>
      </c>
      <c r="DF112" s="399">
        <v>0</v>
      </c>
      <c r="DG112" s="399">
        <v>130.26275504313378</v>
      </c>
      <c r="DH112" s="399">
        <v>0</v>
      </c>
      <c r="DI112" s="399">
        <v>-1165.8556054036926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-140.88179241209582</v>
      </c>
      <c r="DP112" s="399">
        <v>-36.030177603321363</v>
      </c>
      <c r="DQ112" s="399">
        <v>0</v>
      </c>
      <c r="DR112" s="399">
        <v>0</v>
      </c>
      <c r="DS112" s="399"/>
      <c r="DT112" s="399"/>
      <c r="DU112" s="399"/>
      <c r="DV112" s="399">
        <v>118668.99203891908</v>
      </c>
      <c r="DW112" s="399">
        <v>0</v>
      </c>
      <c r="DX112" s="399">
        <v>0</v>
      </c>
      <c r="DY112" s="399">
        <v>-51535.31620999999</v>
      </c>
      <c r="DZ112" s="399">
        <v>12758.264819999997</v>
      </c>
      <c r="EA112" s="399">
        <v>0</v>
      </c>
      <c r="EB112" s="399">
        <v>0</v>
      </c>
      <c r="EC112" s="399">
        <v>-52068.667334650905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216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2354</v>
      </c>
      <c r="C113" s="399" t="s">
        <v>2352</v>
      </c>
      <c r="D113" s="399" t="s">
        <v>1821</v>
      </c>
      <c r="E113" s="399" t="s">
        <v>887</v>
      </c>
      <c r="F113" s="399" t="s">
        <v>887</v>
      </c>
      <c r="G113" s="399" t="s">
        <v>1237</v>
      </c>
      <c r="H113" s="399" t="s">
        <v>1237</v>
      </c>
      <c r="I113" s="399" t="s">
        <v>1237</v>
      </c>
      <c r="J113" s="399" t="s">
        <v>2353</v>
      </c>
      <c r="K113" s="789">
        <v>44531</v>
      </c>
      <c r="L113" s="399">
        <v>0</v>
      </c>
      <c r="M113" s="399">
        <v>0</v>
      </c>
      <c r="N113" s="399">
        <v>-0.377</v>
      </c>
      <c r="O113" s="399">
        <v>-0.377</v>
      </c>
      <c r="P113" s="399">
        <v>-0.377</v>
      </c>
      <c r="Q113" s="399">
        <v>-0.377</v>
      </c>
      <c r="R113" s="399"/>
      <c r="S113" s="399">
        <v>415.98</v>
      </c>
      <c r="T113" s="399">
        <v>215.17</v>
      </c>
      <c r="U113" s="399"/>
      <c r="V113" s="399">
        <v>-237.94355000000002</v>
      </c>
      <c r="W113" s="399">
        <v>-237.94355000000002</v>
      </c>
      <c r="X113" s="399">
        <v>-206.79957999999999</v>
      </c>
      <c r="Y113" s="399">
        <v>0</v>
      </c>
      <c r="Z113" s="399">
        <v>-23.029647481508576</v>
      </c>
      <c r="AA113" s="399">
        <v>0</v>
      </c>
      <c r="AB113" s="399">
        <v>0</v>
      </c>
      <c r="AC113" s="399">
        <v>0</v>
      </c>
      <c r="AD113" s="399">
        <v>-33.671972681722664</v>
      </c>
      <c r="AE113" s="399">
        <v>-95.309555407387947</v>
      </c>
      <c r="AF113" s="399">
        <v>-79.457250469417204</v>
      </c>
      <c r="AG113" s="399">
        <v>-1.6614293619862575</v>
      </c>
      <c r="AH113" s="399">
        <v>0</v>
      </c>
      <c r="AI113" s="399">
        <v>0</v>
      </c>
      <c r="AJ113" s="399">
        <v>0</v>
      </c>
      <c r="AK113" s="399">
        <v>0</v>
      </c>
      <c r="AL113" s="399">
        <v>-3.5586712767361508</v>
      </c>
      <c r="AM113" s="399"/>
      <c r="AN113" s="399">
        <v>-0.44387884952283457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-0.81127932279519166</v>
      </c>
      <c r="BH113" s="399">
        <v>0</v>
      </c>
      <c r="BI113" s="399">
        <v>0</v>
      </c>
      <c r="BJ113" s="399">
        <v>0</v>
      </c>
      <c r="BK113" s="399">
        <v>-77.52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-80.268529792212391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-208.4452</v>
      </c>
      <c r="CJ113" s="399">
        <v>29.468350000000044</v>
      </c>
      <c r="CK113" s="399"/>
      <c r="CL113" s="399"/>
      <c r="CM113" s="399"/>
      <c r="CN113" s="399"/>
      <c r="CO113" s="399">
        <v>41.390830000000008</v>
      </c>
      <c r="CP113" s="399">
        <v>-10.246860000000003</v>
      </c>
      <c r="CQ113" s="399"/>
      <c r="CR113" s="399">
        <v>-10.67433793812782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-1.4015009748975942</v>
      </c>
      <c r="DA113" s="399">
        <v>0</v>
      </c>
      <c r="DB113" s="399">
        <v>0</v>
      </c>
      <c r="DC113" s="399">
        <v>-10.246665874842179</v>
      </c>
      <c r="DD113" s="399">
        <v>0</v>
      </c>
      <c r="DE113" s="399">
        <v>0</v>
      </c>
      <c r="DF113" s="399">
        <v>0</v>
      </c>
      <c r="DG113" s="399">
        <v>-0.10462114033319503</v>
      </c>
      <c r="DH113" s="399">
        <v>0</v>
      </c>
      <c r="DI113" s="399">
        <v>0.936362376650127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0.11314986981088593</v>
      </c>
      <c r="DP113" s="399">
        <v>2.8937805484144985E-2</v>
      </c>
      <c r="DQ113" s="399">
        <v>0</v>
      </c>
      <c r="DR113" s="399">
        <v>0</v>
      </c>
      <c r="DS113" s="399"/>
      <c r="DT113" s="399"/>
      <c r="DU113" s="399"/>
      <c r="DV113" s="399">
        <v>-95.309555407387947</v>
      </c>
      <c r="DW113" s="399">
        <v>0</v>
      </c>
      <c r="DX113" s="399">
        <v>0</v>
      </c>
      <c r="DY113" s="399">
        <v>41.390830000000022</v>
      </c>
      <c r="DZ113" s="399">
        <v>-10.246859999999998</v>
      </c>
      <c r="EA113" s="399">
        <v>0</v>
      </c>
      <c r="EB113" s="399">
        <v>0</v>
      </c>
      <c r="EC113" s="399">
        <v>41.819193447713758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216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2355</v>
      </c>
      <c r="C114" s="399" t="s">
        <v>2352</v>
      </c>
      <c r="D114" s="399" t="s">
        <v>1821</v>
      </c>
      <c r="E114" s="399" t="s">
        <v>887</v>
      </c>
      <c r="F114" s="399" t="s">
        <v>887</v>
      </c>
      <c r="G114" s="399" t="s">
        <v>1237</v>
      </c>
      <c r="H114" s="399" t="s">
        <v>1237</v>
      </c>
      <c r="I114" s="399" t="s">
        <v>1237</v>
      </c>
      <c r="J114" s="399" t="s">
        <v>2353</v>
      </c>
      <c r="K114" s="789">
        <v>44531</v>
      </c>
      <c r="L114" s="399">
        <v>0</v>
      </c>
      <c r="M114" s="399">
        <v>0</v>
      </c>
      <c r="N114" s="399">
        <v>1.8580000000000001</v>
      </c>
      <c r="O114" s="399">
        <v>1.8580000000000001</v>
      </c>
      <c r="P114" s="399">
        <v>1.8580000000000001</v>
      </c>
      <c r="Q114" s="399">
        <v>1.8580000000000001</v>
      </c>
      <c r="R114" s="399"/>
      <c r="S114" s="399">
        <v>415.98</v>
      </c>
      <c r="T114" s="399">
        <v>215.17</v>
      </c>
      <c r="U114" s="399"/>
      <c r="V114" s="399">
        <v>1172.6767</v>
      </c>
      <c r="W114" s="399">
        <v>1172.6767</v>
      </c>
      <c r="X114" s="399">
        <v>1019.18732</v>
      </c>
      <c r="Y114" s="399">
        <v>0</v>
      </c>
      <c r="Z114" s="399">
        <v>113.49889925899983</v>
      </c>
      <c r="AA114" s="399">
        <v>0</v>
      </c>
      <c r="AB114" s="399">
        <v>0</v>
      </c>
      <c r="AC114" s="399">
        <v>0</v>
      </c>
      <c r="AD114" s="399">
        <v>165.94834281867563</v>
      </c>
      <c r="AE114" s="399">
        <v>469.72189375842652</v>
      </c>
      <c r="AF114" s="399">
        <v>391.59568003230021</v>
      </c>
      <c r="AG114" s="399">
        <v>8.1881585001869137</v>
      </c>
      <c r="AH114" s="399">
        <v>0</v>
      </c>
      <c r="AI114" s="399">
        <v>0</v>
      </c>
      <c r="AJ114" s="399">
        <v>0</v>
      </c>
      <c r="AK114" s="399">
        <v>0</v>
      </c>
      <c r="AL114" s="399">
        <v>17.538491332031217</v>
      </c>
      <c r="AM114" s="399"/>
      <c r="AN114" s="399">
        <v>2.1876045156854818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3.9982943813089284</v>
      </c>
      <c r="BH114" s="399">
        <v>0</v>
      </c>
      <c r="BI114" s="399">
        <v>0</v>
      </c>
      <c r="BJ114" s="399">
        <v>0</v>
      </c>
      <c r="BK114" s="399">
        <v>735.29</v>
      </c>
      <c r="BL114" s="399">
        <v>18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395.59397441360915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1020.2844</v>
      </c>
      <c r="CJ114" s="399">
        <v>-152.42229999999995</v>
      </c>
      <c r="CK114" s="399"/>
      <c r="CL114" s="399"/>
      <c r="CM114" s="399"/>
      <c r="CN114" s="399"/>
      <c r="CO114" s="399">
        <v>-203.98982000000004</v>
      </c>
      <c r="CP114" s="399">
        <v>50.500440000000012</v>
      </c>
      <c r="CQ114" s="399"/>
      <c r="CR114" s="399">
        <v>52.607214559791828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6.9071321256226383</v>
      </c>
      <c r="DA114" s="399">
        <v>0</v>
      </c>
      <c r="DB114" s="399">
        <v>0</v>
      </c>
      <c r="DC114" s="399">
        <v>50.499483277073637</v>
      </c>
      <c r="DD114" s="399">
        <v>0</v>
      </c>
      <c r="DE114" s="399">
        <v>0</v>
      </c>
      <c r="DF114" s="399">
        <v>0</v>
      </c>
      <c r="DG114" s="399">
        <v>0.51561294095245769</v>
      </c>
      <c r="DH114" s="399">
        <v>0</v>
      </c>
      <c r="DI114" s="399">
        <v>-4.6147514477876257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-0.55764577747646271</v>
      </c>
      <c r="DP114" s="399">
        <v>-0.14261655859294775</v>
      </c>
      <c r="DQ114" s="399">
        <v>0</v>
      </c>
      <c r="DR114" s="399">
        <v>0</v>
      </c>
      <c r="DS114" s="399"/>
      <c r="DT114" s="399"/>
      <c r="DU114" s="399"/>
      <c r="DV114" s="399">
        <v>469.72189375842652</v>
      </c>
      <c r="DW114" s="399">
        <v>0</v>
      </c>
      <c r="DX114" s="399">
        <v>0</v>
      </c>
      <c r="DY114" s="399">
        <v>-203.98982000000001</v>
      </c>
      <c r="DZ114" s="399">
        <v>50.500440000000026</v>
      </c>
      <c r="EA114" s="399">
        <v>0</v>
      </c>
      <c r="EB114" s="399">
        <v>0</v>
      </c>
      <c r="EC114" s="399">
        <v>-206.100958689263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216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954</v>
      </c>
      <c r="C115" s="399" t="s">
        <v>2352</v>
      </c>
      <c r="D115" s="399" t="s">
        <v>1821</v>
      </c>
      <c r="E115" s="399" t="s">
        <v>887</v>
      </c>
      <c r="F115" s="399" t="s">
        <v>2356</v>
      </c>
      <c r="G115" s="399" t="s">
        <v>1237</v>
      </c>
      <c r="H115" s="399" t="s">
        <v>1237</v>
      </c>
      <c r="I115" s="399" t="s">
        <v>1237</v>
      </c>
      <c r="J115" s="399" t="s">
        <v>2353</v>
      </c>
      <c r="K115" s="789">
        <v>44531</v>
      </c>
      <c r="L115" s="399">
        <v>0</v>
      </c>
      <c r="M115" s="399">
        <v>0</v>
      </c>
      <c r="N115" s="399">
        <v>5.37</v>
      </c>
      <c r="O115" s="399">
        <v>5.37</v>
      </c>
      <c r="P115" s="399">
        <v>5.37</v>
      </c>
      <c r="Q115" s="399">
        <v>5.37</v>
      </c>
      <c r="R115" s="399"/>
      <c r="S115" s="399">
        <v>345.46</v>
      </c>
      <c r="T115" s="399">
        <v>215.17</v>
      </c>
      <c r="U115" s="399"/>
      <c r="V115" s="399">
        <v>3010.5830999999998</v>
      </c>
      <c r="W115" s="399">
        <v>3010.5830999999998</v>
      </c>
      <c r="X115" s="399">
        <v>2581.8959999999997</v>
      </c>
      <c r="Y115" s="399">
        <v>0</v>
      </c>
      <c r="Z115" s="399">
        <v>0</v>
      </c>
      <c r="AA115" s="399">
        <v>0</v>
      </c>
      <c r="AB115" s="399">
        <v>0</v>
      </c>
      <c r="AC115" s="399">
        <v>0</v>
      </c>
      <c r="AD115" s="399">
        <v>479.62465066538647</v>
      </c>
      <c r="AE115" s="399">
        <v>1357.5923409487355</v>
      </c>
      <c r="AF115" s="399">
        <v>1131.7916048296297</v>
      </c>
      <c r="AG115" s="399">
        <v>23.66545271582547</v>
      </c>
      <c r="AH115" s="399">
        <v>0</v>
      </c>
      <c r="AI115" s="399">
        <v>0</v>
      </c>
      <c r="AJ115" s="399">
        <v>0</v>
      </c>
      <c r="AK115" s="399">
        <v>0</v>
      </c>
      <c r="AL115" s="399">
        <v>0</v>
      </c>
      <c r="AM115" s="399"/>
      <c r="AN115" s="399">
        <v>6.3226244613730023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11.555888497109228</v>
      </c>
      <c r="BH115" s="399">
        <v>0</v>
      </c>
      <c r="BI115" s="399">
        <v>0</v>
      </c>
      <c r="BJ115" s="399">
        <v>0</v>
      </c>
      <c r="BK115" s="399">
        <v>121.84</v>
      </c>
      <c r="BL115" s="399">
        <v>8</v>
      </c>
      <c r="BM115" s="399"/>
      <c r="BN115" s="399"/>
      <c r="BO115" s="399"/>
      <c r="BP115" s="399"/>
      <c r="BQ115" s="399"/>
      <c r="BR115" s="399"/>
      <c r="BS115" s="399"/>
      <c r="BT115" s="399">
        <v>1678.2324000000001</v>
      </c>
      <c r="BU115" s="399"/>
      <c r="BV115" s="399">
        <v>1143.3474933267389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903.66359999999986</v>
      </c>
      <c r="CJ115" s="399">
        <v>-150.06780000000003</v>
      </c>
      <c r="CK115" s="399"/>
      <c r="CL115" s="399"/>
      <c r="CM115" s="399"/>
      <c r="CN115" s="399"/>
      <c r="CO115" s="399">
        <v>-574.64369999999997</v>
      </c>
      <c r="CP115" s="399">
        <v>145.95660000000004</v>
      </c>
      <c r="CQ115" s="399"/>
      <c r="CR115" s="399">
        <v>166.99489520223369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19.963024496552009</v>
      </c>
      <c r="DA115" s="399">
        <v>0</v>
      </c>
      <c r="DB115" s="399">
        <v>0</v>
      </c>
      <c r="DC115" s="399">
        <v>145.95383487507297</v>
      </c>
      <c r="DD115" s="399">
        <v>0</v>
      </c>
      <c r="DE115" s="399">
        <v>0</v>
      </c>
      <c r="DF115" s="399">
        <v>0</v>
      </c>
      <c r="DG115" s="399">
        <v>1.4902268530219036</v>
      </c>
      <c r="DH115" s="399">
        <v>0</v>
      </c>
      <c r="DI115" s="399">
        <v>0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0</v>
      </c>
      <c r="DP115" s="399">
        <v>-0.41219102241341865</v>
      </c>
      <c r="DQ115" s="399">
        <v>0</v>
      </c>
      <c r="DR115" s="399">
        <v>0</v>
      </c>
      <c r="DS115" s="399"/>
      <c r="DT115" s="399"/>
      <c r="DU115" s="399"/>
      <c r="DV115" s="399">
        <v>1357.5923409487355</v>
      </c>
      <c r="DW115" s="399">
        <v>0</v>
      </c>
      <c r="DX115" s="399">
        <v>0</v>
      </c>
      <c r="DY115" s="399">
        <v>-574.64369999999985</v>
      </c>
      <c r="DZ115" s="399">
        <v>145.95659999999998</v>
      </c>
      <c r="EA115" s="399">
        <v>0</v>
      </c>
      <c r="EB115" s="399">
        <v>0</v>
      </c>
      <c r="EC115" s="399">
        <v>-595.67392258414554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216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954</v>
      </c>
      <c r="C116" s="399" t="s">
        <v>2352</v>
      </c>
      <c r="D116" s="399" t="s">
        <v>1821</v>
      </c>
      <c r="E116" s="399" t="s">
        <v>887</v>
      </c>
      <c r="F116" s="399" t="s">
        <v>2357</v>
      </c>
      <c r="G116" s="399" t="s">
        <v>1237</v>
      </c>
      <c r="H116" s="399" t="s">
        <v>1237</v>
      </c>
      <c r="I116" s="399" t="s">
        <v>1237</v>
      </c>
      <c r="J116" s="399" t="s">
        <v>2353</v>
      </c>
      <c r="K116" s="789">
        <v>44531</v>
      </c>
      <c r="L116" s="399">
        <v>0</v>
      </c>
      <c r="M116" s="399">
        <v>0</v>
      </c>
      <c r="N116" s="399">
        <v>11.026</v>
      </c>
      <c r="O116" s="399">
        <v>11.026</v>
      </c>
      <c r="P116" s="399">
        <v>11.026</v>
      </c>
      <c r="Q116" s="399">
        <v>11.026</v>
      </c>
      <c r="R116" s="399"/>
      <c r="S116" s="399">
        <v>345.46</v>
      </c>
      <c r="T116" s="399">
        <v>215.17</v>
      </c>
      <c r="U116" s="399"/>
      <c r="V116" s="399">
        <v>6181.5063799999989</v>
      </c>
      <c r="W116" s="399">
        <v>6181.5063799999989</v>
      </c>
      <c r="X116" s="399">
        <v>5301.3008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984.79355646863155</v>
      </c>
      <c r="AE116" s="399">
        <v>2787.4884825513514</v>
      </c>
      <c r="AF116" s="399">
        <v>2323.8611238084723</v>
      </c>
      <c r="AG116" s="399">
        <v>48.591300120054306</v>
      </c>
      <c r="AH116" s="399">
        <v>0</v>
      </c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12.981984601694361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23.727230273580325</v>
      </c>
      <c r="BH116" s="399">
        <v>0</v>
      </c>
      <c r="BI116" s="399">
        <v>0</v>
      </c>
      <c r="BJ116" s="399">
        <v>0</v>
      </c>
      <c r="BK116" s="399">
        <v>434.73</v>
      </c>
      <c r="BL116" s="399">
        <v>37</v>
      </c>
      <c r="BM116" s="399"/>
      <c r="BN116" s="399"/>
      <c r="BO116" s="399"/>
      <c r="BP116" s="399"/>
      <c r="BQ116" s="399"/>
      <c r="BR116" s="399"/>
      <c r="BS116" s="399"/>
      <c r="BT116" s="399">
        <v>2120.5203199999996</v>
      </c>
      <c r="BU116" s="399"/>
      <c r="BV116" s="399">
        <v>2347.5883540820528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3181.9343999999996</v>
      </c>
      <c r="CJ116" s="399">
        <v>-526.91122000000087</v>
      </c>
      <c r="CK116" s="399"/>
      <c r="CL116" s="399"/>
      <c r="CM116" s="399"/>
      <c r="CN116" s="399"/>
      <c r="CO116" s="399">
        <v>-1179.8922599999999</v>
      </c>
      <c r="CP116" s="399">
        <v>299.68668000000008</v>
      </c>
      <c r="CQ116" s="399"/>
      <c r="CR116" s="399">
        <v>342.88374571691338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40.989256629233068</v>
      </c>
      <c r="DA116" s="399">
        <v>0</v>
      </c>
      <c r="DB116" s="399">
        <v>0</v>
      </c>
      <c r="DC116" s="399">
        <v>299.68100248278506</v>
      </c>
      <c r="DD116" s="399">
        <v>0</v>
      </c>
      <c r="DE116" s="399">
        <v>0</v>
      </c>
      <c r="DF116" s="399">
        <v>0</v>
      </c>
      <c r="DG116" s="399">
        <v>3.059821467675885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0</v>
      </c>
      <c r="DP116" s="399">
        <v>-0.84633486278032599</v>
      </c>
      <c r="DQ116" s="399">
        <v>0</v>
      </c>
      <c r="DR116" s="399">
        <v>0</v>
      </c>
      <c r="DS116" s="399"/>
      <c r="DT116" s="399"/>
      <c r="DU116" s="399"/>
      <c r="DV116" s="399">
        <v>2787.4884825513514</v>
      </c>
      <c r="DW116" s="399">
        <v>0</v>
      </c>
      <c r="DX116" s="399">
        <v>0</v>
      </c>
      <c r="DY116" s="399">
        <v>-1179.8922599999996</v>
      </c>
      <c r="DZ116" s="399">
        <v>299.68668000000025</v>
      </c>
      <c r="EA116" s="399">
        <v>0</v>
      </c>
      <c r="EB116" s="399">
        <v>0</v>
      </c>
      <c r="EC116" s="399">
        <v>-1223.0727505424188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216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954</v>
      </c>
      <c r="C117" s="399" t="s">
        <v>2352</v>
      </c>
      <c r="D117" s="399" t="s">
        <v>1821</v>
      </c>
      <c r="E117" s="399" t="s">
        <v>887</v>
      </c>
      <c r="F117" s="399" t="s">
        <v>2358</v>
      </c>
      <c r="G117" s="399" t="s">
        <v>1237</v>
      </c>
      <c r="H117" s="399" t="s">
        <v>1237</v>
      </c>
      <c r="I117" s="399" t="s">
        <v>1237</v>
      </c>
      <c r="J117" s="399" t="s">
        <v>2353</v>
      </c>
      <c r="K117" s="789">
        <v>44531</v>
      </c>
      <c r="L117" s="399">
        <v>0</v>
      </c>
      <c r="M117" s="399">
        <v>0</v>
      </c>
      <c r="N117" s="399">
        <v>10.201000000000001</v>
      </c>
      <c r="O117" s="399">
        <v>10.201000000000001</v>
      </c>
      <c r="P117" s="399">
        <v>10.201000000000001</v>
      </c>
      <c r="Q117" s="399">
        <v>10.201000000000001</v>
      </c>
      <c r="R117" s="399"/>
      <c r="S117" s="399">
        <v>345.46</v>
      </c>
      <c r="T117" s="399">
        <v>215.17</v>
      </c>
      <c r="U117" s="399"/>
      <c r="V117" s="399">
        <v>5718.9866299999994</v>
      </c>
      <c r="W117" s="399">
        <v>5718.9866299999994</v>
      </c>
      <c r="X117" s="399">
        <v>4904.6408000000001</v>
      </c>
      <c r="Y117" s="399">
        <v>0</v>
      </c>
      <c r="Z117" s="399">
        <v>0</v>
      </c>
      <c r="AA117" s="399">
        <v>0</v>
      </c>
      <c r="AB117" s="399">
        <v>0</v>
      </c>
      <c r="AC117" s="399">
        <v>0</v>
      </c>
      <c r="AD117" s="399">
        <v>911.10820510942415</v>
      </c>
      <c r="AE117" s="399">
        <v>2578.9198268190039</v>
      </c>
      <c r="AF117" s="399">
        <v>2149.9825253011272</v>
      </c>
      <c r="AG117" s="399">
        <v>44.955546211198438</v>
      </c>
      <c r="AH117" s="399">
        <v>0</v>
      </c>
      <c r="AI117" s="399">
        <v>0</v>
      </c>
      <c r="AJ117" s="399">
        <v>0</v>
      </c>
      <c r="AK117" s="399">
        <v>0</v>
      </c>
      <c r="AL117" s="399">
        <v>0</v>
      </c>
      <c r="AM117" s="399"/>
      <c r="AN117" s="399">
        <v>12.010631681651024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21.951884275421087</v>
      </c>
      <c r="BH117" s="399">
        <v>0</v>
      </c>
      <c r="BI117" s="399">
        <v>0</v>
      </c>
      <c r="BJ117" s="399">
        <v>0</v>
      </c>
      <c r="BK117" s="399">
        <v>1001.13</v>
      </c>
      <c r="BL117" s="399">
        <v>100</v>
      </c>
      <c r="BM117" s="399"/>
      <c r="BN117" s="399"/>
      <c r="BO117" s="399"/>
      <c r="BP117" s="399"/>
      <c r="BQ117" s="399"/>
      <c r="BR117" s="399"/>
      <c r="BS117" s="399"/>
      <c r="BT117" s="399">
        <v>490.5660899999998</v>
      </c>
      <c r="BU117" s="399"/>
      <c r="BV117" s="399">
        <v>2171.9344095765482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4413.6419999999998</v>
      </c>
      <c r="CJ117" s="399">
        <v>-733.40456000000086</v>
      </c>
      <c r="CK117" s="399"/>
      <c r="CL117" s="399"/>
      <c r="CM117" s="399"/>
      <c r="CN117" s="399"/>
      <c r="CO117" s="399">
        <v>-1091.6090099999999</v>
      </c>
      <c r="CP117" s="399">
        <v>277.26318000000009</v>
      </c>
      <c r="CQ117" s="399"/>
      <c r="CR117" s="399">
        <v>317.22810539254851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37.922311525014265</v>
      </c>
      <c r="DA117" s="399">
        <v>0</v>
      </c>
      <c r="DB117" s="399">
        <v>0</v>
      </c>
      <c r="DC117" s="399">
        <v>277.25792729248042</v>
      </c>
      <c r="DD117" s="399">
        <v>0</v>
      </c>
      <c r="DE117" s="399">
        <v>0</v>
      </c>
      <c r="DF117" s="399">
        <v>0</v>
      </c>
      <c r="DG117" s="399">
        <v>2.8308760014295054</v>
      </c>
      <c r="DH117" s="399">
        <v>0</v>
      </c>
      <c r="DI117" s="399">
        <v>0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0</v>
      </c>
      <c r="DP117" s="399">
        <v>-0.78300942637602944</v>
      </c>
      <c r="DQ117" s="399">
        <v>0</v>
      </c>
      <c r="DR117" s="399">
        <v>0</v>
      </c>
      <c r="DS117" s="399"/>
      <c r="DT117" s="399"/>
      <c r="DU117" s="399"/>
      <c r="DV117" s="399">
        <v>2578.9198268190039</v>
      </c>
      <c r="DW117" s="399">
        <v>0</v>
      </c>
      <c r="DX117" s="399">
        <v>0</v>
      </c>
      <c r="DY117" s="399">
        <v>-1091.6090100000001</v>
      </c>
      <c r="DZ117" s="399">
        <v>277.26318000000038</v>
      </c>
      <c r="EA117" s="399">
        <v>0</v>
      </c>
      <c r="EB117" s="399">
        <v>0</v>
      </c>
      <c r="EC117" s="399">
        <v>-1131.5586004247427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216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954</v>
      </c>
      <c r="C118" s="399" t="s">
        <v>2352</v>
      </c>
      <c r="D118" s="399" t="s">
        <v>1821</v>
      </c>
      <c r="E118" s="399" t="s">
        <v>887</v>
      </c>
      <c r="F118" s="399" t="s">
        <v>2359</v>
      </c>
      <c r="G118" s="399" t="s">
        <v>1237</v>
      </c>
      <c r="H118" s="399" t="s">
        <v>1237</v>
      </c>
      <c r="I118" s="399" t="s">
        <v>1237</v>
      </c>
      <c r="J118" s="399" t="s">
        <v>2353</v>
      </c>
      <c r="K118" s="789">
        <v>44531</v>
      </c>
      <c r="L118" s="399">
        <v>0</v>
      </c>
      <c r="M118" s="399">
        <v>0</v>
      </c>
      <c r="N118" s="399">
        <v>2.6139999999999999</v>
      </c>
      <c r="O118" s="399">
        <v>2.6139999999999999</v>
      </c>
      <c r="P118" s="399">
        <v>2.6139999999999999</v>
      </c>
      <c r="Q118" s="399">
        <v>2.6139999999999999</v>
      </c>
      <c r="R118" s="399"/>
      <c r="S118" s="399">
        <v>345.46</v>
      </c>
      <c r="T118" s="399">
        <v>215.17</v>
      </c>
      <c r="U118" s="399"/>
      <c r="V118" s="399">
        <v>1465.4868199999999</v>
      </c>
      <c r="W118" s="399">
        <v>1465.4868199999999</v>
      </c>
      <c r="X118" s="399">
        <v>1256.8111999999999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233.47091933693113</v>
      </c>
      <c r="AE118" s="399">
        <v>660.84662555679597</v>
      </c>
      <c r="AF118" s="399">
        <v>550.93170484630389</v>
      </c>
      <c r="AG118" s="399">
        <v>11.519831173029381</v>
      </c>
      <c r="AH118" s="399">
        <v>0</v>
      </c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3.0777170096888318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5.6251568959857581</v>
      </c>
      <c r="BH118" s="399">
        <v>0</v>
      </c>
      <c r="BI118" s="399">
        <v>0</v>
      </c>
      <c r="BJ118" s="399">
        <v>0</v>
      </c>
      <c r="BK118" s="399">
        <v>427.93</v>
      </c>
      <c r="BL118" s="399">
        <v>34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556.5568617422897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1254.8879999999999</v>
      </c>
      <c r="CJ118" s="399">
        <v>-210.62881999999991</v>
      </c>
      <c r="CK118" s="399"/>
      <c r="CL118" s="399"/>
      <c r="CM118" s="399"/>
      <c r="CN118" s="399"/>
      <c r="CO118" s="399">
        <v>-279.72413999999998</v>
      </c>
      <c r="CP118" s="399">
        <v>71.048520000000011</v>
      </c>
      <c r="CQ118" s="399"/>
      <c r="CR118" s="399">
        <v>81.289507645928893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9.7175690938522905</v>
      </c>
      <c r="DA118" s="399">
        <v>0</v>
      </c>
      <c r="DB118" s="399">
        <v>0</v>
      </c>
      <c r="DC118" s="399">
        <v>71.047173996916399</v>
      </c>
      <c r="DD118" s="399">
        <v>0</v>
      </c>
      <c r="DE118" s="399">
        <v>0</v>
      </c>
      <c r="DF118" s="399">
        <v>0</v>
      </c>
      <c r="DG118" s="399">
        <v>0.72541024093095974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0</v>
      </c>
      <c r="DP118" s="399">
        <v>-0.20064568577070307</v>
      </c>
      <c r="DQ118" s="399">
        <v>0</v>
      </c>
      <c r="DR118" s="399">
        <v>0</v>
      </c>
      <c r="DS118" s="399"/>
      <c r="DT118" s="399"/>
      <c r="DU118" s="399"/>
      <c r="DV118" s="399">
        <v>660.84662555679597</v>
      </c>
      <c r="DW118" s="399">
        <v>0</v>
      </c>
      <c r="DX118" s="399">
        <v>0</v>
      </c>
      <c r="DY118" s="399">
        <v>-279.72414000000003</v>
      </c>
      <c r="DZ118" s="399">
        <v>71.048520000000053</v>
      </c>
      <c r="EA118" s="399">
        <v>0</v>
      </c>
      <c r="EB118" s="399">
        <v>0</v>
      </c>
      <c r="EC118" s="399">
        <v>-289.96119806982432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216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954</v>
      </c>
      <c r="C119" s="399" t="s">
        <v>2352</v>
      </c>
      <c r="D119" s="399" t="s">
        <v>1824</v>
      </c>
      <c r="E119" s="399" t="s">
        <v>888</v>
      </c>
      <c r="F119" s="399" t="s">
        <v>1237</v>
      </c>
      <c r="G119" s="399" t="s">
        <v>1237</v>
      </c>
      <c r="H119" s="399" t="s">
        <v>1237</v>
      </c>
      <c r="I119" s="399" t="s">
        <v>1237</v>
      </c>
      <c r="J119" s="399" t="s">
        <v>2353</v>
      </c>
      <c r="K119" s="789">
        <v>44531</v>
      </c>
      <c r="L119" s="399">
        <v>0</v>
      </c>
      <c r="M119" s="399">
        <v>0</v>
      </c>
      <c r="N119" s="399">
        <v>26.326000000000001</v>
      </c>
      <c r="O119" s="399">
        <v>26.326000000000001</v>
      </c>
      <c r="P119" s="399">
        <v>26.326000000000001</v>
      </c>
      <c r="Q119" s="399">
        <v>26.326000000000001</v>
      </c>
      <c r="R119" s="399"/>
      <c r="S119" s="399">
        <v>415.98</v>
      </c>
      <c r="T119" s="399">
        <v>215.17</v>
      </c>
      <c r="U119" s="399"/>
      <c r="V119" s="399">
        <v>16615.654900000001</v>
      </c>
      <c r="W119" s="399">
        <v>16615.654900000001</v>
      </c>
      <c r="X119" s="399">
        <v>14440.86404</v>
      </c>
      <c r="Y119" s="399">
        <v>0</v>
      </c>
      <c r="Z119" s="399">
        <v>1608.1657814275723</v>
      </c>
      <c r="AA119" s="399">
        <v>0</v>
      </c>
      <c r="AB119" s="399">
        <v>0</v>
      </c>
      <c r="AC119" s="399">
        <v>0</v>
      </c>
      <c r="AD119" s="399">
        <v>2351.3218907666601</v>
      </c>
      <c r="AE119" s="399">
        <v>6655.4890070421616</v>
      </c>
      <c r="AF119" s="399">
        <v>5548.5187688537862</v>
      </c>
      <c r="AG119" s="399">
        <v>116.01800897519951</v>
      </c>
      <c r="AH119" s="399">
        <v>0</v>
      </c>
      <c r="AI119" s="399">
        <v>0</v>
      </c>
      <c r="AJ119" s="399">
        <v>0</v>
      </c>
      <c r="AK119" s="399">
        <v>0</v>
      </c>
      <c r="AL119" s="399">
        <v>248.50286480465758</v>
      </c>
      <c r="AM119" s="399"/>
      <c r="AN119" s="399">
        <v>30.996166027952636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56.65182878489712</v>
      </c>
      <c r="BH119" s="399">
        <v>0</v>
      </c>
      <c r="BI119" s="399">
        <v>0</v>
      </c>
      <c r="BJ119" s="399">
        <v>0</v>
      </c>
      <c r="BK119" s="399">
        <v>6059.35</v>
      </c>
      <c r="BL119" s="399">
        <v>37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5605.1705976386829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14443.058199999999</v>
      </c>
      <c r="CJ119" s="399">
        <v>-2172.6267000000007</v>
      </c>
      <c r="CK119" s="399"/>
      <c r="CL119" s="399"/>
      <c r="CM119" s="399"/>
      <c r="CN119" s="399"/>
      <c r="CO119" s="399">
        <v>-2890.3315400000006</v>
      </c>
      <c r="CP119" s="399">
        <v>715.54068000000018</v>
      </c>
      <c r="CQ119" s="399"/>
      <c r="CR119" s="399">
        <v>745.39156646990341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97.867147652928907</v>
      </c>
      <c r="DA119" s="399">
        <v>0</v>
      </c>
      <c r="DB119" s="399">
        <v>0</v>
      </c>
      <c r="DC119" s="399">
        <v>715.52712419388627</v>
      </c>
      <c r="DD119" s="399">
        <v>0</v>
      </c>
      <c r="DE119" s="399">
        <v>0</v>
      </c>
      <c r="DF119" s="399">
        <v>0</v>
      </c>
      <c r="DG119" s="399">
        <v>7.3057192053360538</v>
      </c>
      <c r="DH119" s="399">
        <v>0</v>
      </c>
      <c r="DI119" s="399">
        <v>-65.386408296263198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-7.9012824207994186</v>
      </c>
      <c r="DP119" s="399">
        <v>-2.0207338651872746</v>
      </c>
      <c r="DQ119" s="399">
        <v>0</v>
      </c>
      <c r="DR119" s="399">
        <v>0</v>
      </c>
      <c r="DS119" s="399"/>
      <c r="DT119" s="399"/>
      <c r="DU119" s="399"/>
      <c r="DV119" s="399">
        <v>6655.4890070421616</v>
      </c>
      <c r="DW119" s="399">
        <v>0</v>
      </c>
      <c r="DX119" s="399">
        <v>0</v>
      </c>
      <c r="DY119" s="399">
        <v>-2890.3315400000001</v>
      </c>
      <c r="DZ119" s="399">
        <v>715.54068000000007</v>
      </c>
      <c r="EA119" s="399">
        <v>0</v>
      </c>
      <c r="EB119" s="399">
        <v>0</v>
      </c>
      <c r="EC119" s="399">
        <v>-2920.2442618156824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216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2355</v>
      </c>
      <c r="C120" s="399" t="s">
        <v>2352</v>
      </c>
      <c r="D120" s="399" t="s">
        <v>1824</v>
      </c>
      <c r="E120" s="399" t="s">
        <v>888</v>
      </c>
      <c r="F120" s="399" t="s">
        <v>1237</v>
      </c>
      <c r="G120" s="399" t="s">
        <v>1237</v>
      </c>
      <c r="H120" s="399" t="s">
        <v>1237</v>
      </c>
      <c r="I120" s="399" t="s">
        <v>1237</v>
      </c>
      <c r="J120" s="399" t="s">
        <v>2353</v>
      </c>
      <c r="K120" s="789">
        <v>44531</v>
      </c>
      <c r="L120" s="399">
        <v>0</v>
      </c>
      <c r="M120" s="399">
        <v>0</v>
      </c>
      <c r="N120" s="399">
        <v>8.94</v>
      </c>
      <c r="O120" s="399">
        <v>8.94</v>
      </c>
      <c r="P120" s="399">
        <v>8.94</v>
      </c>
      <c r="Q120" s="399">
        <v>8.94</v>
      </c>
      <c r="R120" s="399"/>
      <c r="S120" s="399">
        <v>415.98</v>
      </c>
      <c r="T120" s="399">
        <v>215.17</v>
      </c>
      <c r="U120" s="399"/>
      <c r="V120" s="399">
        <v>5642.4809999999998</v>
      </c>
      <c r="W120" s="399">
        <v>5642.4809999999998</v>
      </c>
      <c r="X120" s="399">
        <v>4903.9475999999995</v>
      </c>
      <c r="Y120" s="399">
        <v>0</v>
      </c>
      <c r="Z120" s="399">
        <v>546.11418696203361</v>
      </c>
      <c r="AA120" s="399">
        <v>0</v>
      </c>
      <c r="AB120" s="399">
        <v>0</v>
      </c>
      <c r="AC120" s="399">
        <v>0</v>
      </c>
      <c r="AD120" s="399">
        <v>798.48126200159311</v>
      </c>
      <c r="AE120" s="399">
        <v>2260.1257966632575</v>
      </c>
      <c r="AF120" s="399">
        <v>1884.2117220068694</v>
      </c>
      <c r="AG120" s="399">
        <v>39.398351448692679</v>
      </c>
      <c r="AH120" s="399">
        <v>0</v>
      </c>
      <c r="AI120" s="399">
        <v>0</v>
      </c>
      <c r="AJ120" s="399">
        <v>0</v>
      </c>
      <c r="AK120" s="399">
        <v>0</v>
      </c>
      <c r="AL120" s="399">
        <v>84.388650435069465</v>
      </c>
      <c r="AM120" s="399"/>
      <c r="AN120" s="399">
        <v>10.525933460833265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19.238294816416477</v>
      </c>
      <c r="BH120" s="399">
        <v>0</v>
      </c>
      <c r="BI120" s="399">
        <v>0</v>
      </c>
      <c r="BJ120" s="399">
        <v>0</v>
      </c>
      <c r="BK120" s="399">
        <v>3229.65</v>
      </c>
      <c r="BL120" s="399">
        <v>4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1903.450016823286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4903.9475999999995</v>
      </c>
      <c r="CJ120" s="399">
        <v>-738.56340000000091</v>
      </c>
      <c r="CK120" s="399"/>
      <c r="CL120" s="399"/>
      <c r="CM120" s="399"/>
      <c r="CN120" s="399"/>
      <c r="CO120" s="399">
        <v>-981.52260000000012</v>
      </c>
      <c r="CP120" s="399">
        <v>242.98920000000004</v>
      </c>
      <c r="CQ120" s="399"/>
      <c r="CR120" s="399">
        <v>253.12620999167757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33.234532402080958</v>
      </c>
      <c r="DA120" s="399">
        <v>0</v>
      </c>
      <c r="DB120" s="399">
        <v>0</v>
      </c>
      <c r="DC120" s="399">
        <v>242.98459660766321</v>
      </c>
      <c r="DD120" s="399">
        <v>0</v>
      </c>
      <c r="DE120" s="399">
        <v>0</v>
      </c>
      <c r="DF120" s="399">
        <v>0</v>
      </c>
      <c r="DG120" s="399">
        <v>2.4809363251426113</v>
      </c>
      <c r="DH120" s="399">
        <v>0</v>
      </c>
      <c r="DI120" s="399">
        <v>-22.20445529775111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-2.6831825891493963</v>
      </c>
      <c r="DP120" s="399">
        <v>-0.68621745630837161</v>
      </c>
      <c r="DQ120" s="399">
        <v>0</v>
      </c>
      <c r="DR120" s="399">
        <v>0</v>
      </c>
      <c r="DS120" s="399"/>
      <c r="DT120" s="399"/>
      <c r="DU120" s="399"/>
      <c r="DV120" s="399">
        <v>2260.1257966632575</v>
      </c>
      <c r="DW120" s="399">
        <v>0</v>
      </c>
      <c r="DX120" s="399">
        <v>0</v>
      </c>
      <c r="DY120" s="399">
        <v>-981.52259999999978</v>
      </c>
      <c r="DZ120" s="399">
        <v>242.98920000000021</v>
      </c>
      <c r="EA120" s="399">
        <v>0</v>
      </c>
      <c r="EB120" s="399">
        <v>0</v>
      </c>
      <c r="EC120" s="399">
        <v>-991.68060854790679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216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954</v>
      </c>
      <c r="C121" s="399" t="s">
        <v>2360</v>
      </c>
      <c r="D121" s="399" t="s">
        <v>533</v>
      </c>
      <c r="E121" s="399" t="s">
        <v>888</v>
      </c>
      <c r="F121" s="399" t="s">
        <v>1237</v>
      </c>
      <c r="G121" s="399" t="s">
        <v>1237</v>
      </c>
      <c r="H121" s="399" t="s">
        <v>1237</v>
      </c>
      <c r="I121" s="399" t="s">
        <v>891</v>
      </c>
      <c r="J121" s="399" t="s">
        <v>2353</v>
      </c>
      <c r="K121" s="789">
        <v>44531</v>
      </c>
      <c r="L121" s="399">
        <v>0</v>
      </c>
      <c r="M121" s="399">
        <v>0</v>
      </c>
      <c r="N121" s="399">
        <v>138.297</v>
      </c>
      <c r="O121" s="399">
        <v>138.297</v>
      </c>
      <c r="P121" s="399">
        <v>138.297</v>
      </c>
      <c r="Q121" s="399">
        <v>138.297</v>
      </c>
      <c r="R121" s="399"/>
      <c r="S121" s="399">
        <v>2184.0300000000002</v>
      </c>
      <c r="T121" s="399">
        <v>215.17</v>
      </c>
      <c r="U121" s="399"/>
      <c r="V121" s="399">
        <v>331802.16240000003</v>
      </c>
      <c r="W121" s="399">
        <v>331802.16240000003</v>
      </c>
      <c r="X121" s="399">
        <v>250371.50582999998</v>
      </c>
      <c r="Y121" s="399">
        <v>0</v>
      </c>
      <c r="Z121" s="399">
        <v>7349.8411332696633</v>
      </c>
      <c r="AA121" s="399">
        <v>0</v>
      </c>
      <c r="AB121" s="399">
        <v>0</v>
      </c>
      <c r="AC121" s="399">
        <v>0</v>
      </c>
      <c r="AD121" s="399">
        <v>91136.930026181071</v>
      </c>
      <c r="AE121" s="399">
        <v>202041.97013769523</v>
      </c>
      <c r="AF121" s="399">
        <v>29147.743682145865</v>
      </c>
      <c r="AG121" s="399">
        <v>609.47134343398784</v>
      </c>
      <c r="AH121" s="399">
        <v>0</v>
      </c>
      <c r="AI121" s="399">
        <v>0</v>
      </c>
      <c r="AJ121" s="399">
        <v>0</v>
      </c>
      <c r="AK121" s="399">
        <v>0</v>
      </c>
      <c r="AL121" s="399">
        <v>1305.4471128880091</v>
      </c>
      <c r="AM121" s="399"/>
      <c r="AN121" s="399">
        <v>95.407317340465525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114.90421171172304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29262.647893857589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250376.93700000001</v>
      </c>
      <c r="CJ121" s="399">
        <v>-81425.255400000053</v>
      </c>
      <c r="CK121" s="399"/>
      <c r="CL121" s="399"/>
      <c r="CM121" s="399"/>
      <c r="CN121" s="399"/>
      <c r="CO121" s="399">
        <v>-85189.569030000028</v>
      </c>
      <c r="CP121" s="399">
        <v>3758.9124600000009</v>
      </c>
      <c r="CQ121" s="399"/>
      <c r="CR121" s="399">
        <v>7220.4125213632215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3793.3178874963342</v>
      </c>
      <c r="DA121" s="399">
        <v>0</v>
      </c>
      <c r="DB121" s="399">
        <v>0</v>
      </c>
      <c r="DC121" s="399">
        <v>3758.8412479921717</v>
      </c>
      <c r="DD121" s="399">
        <v>0</v>
      </c>
      <c r="DE121" s="399">
        <v>0</v>
      </c>
      <c r="DF121" s="399">
        <v>0</v>
      </c>
      <c r="DG121" s="399">
        <v>14.817843029634645</v>
      </c>
      <c r="DH121" s="399">
        <v>0</v>
      </c>
      <c r="DI121" s="399">
        <v>-298.83717139287182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-41.507394019193953</v>
      </c>
      <c r="DP121" s="399">
        <v>-6.219891742827059</v>
      </c>
      <c r="DQ121" s="399">
        <v>0</v>
      </c>
      <c r="DR121" s="399">
        <v>0</v>
      </c>
      <c r="DS121" s="399"/>
      <c r="DT121" s="399"/>
      <c r="DU121" s="399"/>
      <c r="DV121" s="399">
        <v>202041.97013769523</v>
      </c>
      <c r="DW121" s="399">
        <v>0</v>
      </c>
      <c r="DX121" s="399">
        <v>0</v>
      </c>
      <c r="DY121" s="399">
        <v>-85189.569030000042</v>
      </c>
      <c r="DZ121" s="399">
        <v>3758.9124599999996</v>
      </c>
      <c r="EA121" s="399">
        <v>0</v>
      </c>
      <c r="EB121" s="399">
        <v>0</v>
      </c>
      <c r="EC121" s="399">
        <v>-88650.42122618627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216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954</v>
      </c>
      <c r="C122" s="399" t="s">
        <v>2360</v>
      </c>
      <c r="D122" s="399" t="s">
        <v>533</v>
      </c>
      <c r="E122" s="399" t="s">
        <v>888</v>
      </c>
      <c r="F122" s="399" t="s">
        <v>1237</v>
      </c>
      <c r="G122" s="399" t="s">
        <v>1237</v>
      </c>
      <c r="H122" s="399" t="s">
        <v>1237</v>
      </c>
      <c r="I122" s="399" t="s">
        <v>2327</v>
      </c>
      <c r="J122" s="399" t="s">
        <v>2353</v>
      </c>
      <c r="K122" s="789">
        <v>44531</v>
      </c>
      <c r="L122" s="399">
        <v>0</v>
      </c>
      <c r="M122" s="399">
        <v>0</v>
      </c>
      <c r="N122" s="399">
        <v>1590.2850000000001</v>
      </c>
      <c r="O122" s="399">
        <v>1590.2850000000001</v>
      </c>
      <c r="P122" s="399">
        <v>1590.2850000000001</v>
      </c>
      <c r="Q122" s="399">
        <v>1590.2850000000001</v>
      </c>
      <c r="R122" s="399"/>
      <c r="S122" s="399">
        <v>64.11</v>
      </c>
      <c r="T122" s="399">
        <v>215.17</v>
      </c>
      <c r="U122" s="399"/>
      <c r="V122" s="399">
        <v>444134.79480000003</v>
      </c>
      <c r="W122" s="399">
        <v>444134.79480000003</v>
      </c>
      <c r="X122" s="399">
        <v>483542.05710000003</v>
      </c>
      <c r="Y122" s="399">
        <v>0</v>
      </c>
      <c r="Z122" s="399">
        <v>84516.237565686504</v>
      </c>
      <c r="AA122" s="399">
        <v>0</v>
      </c>
      <c r="AB122" s="399">
        <v>0</v>
      </c>
      <c r="AC122" s="399">
        <v>0</v>
      </c>
      <c r="AD122" s="399">
        <v>0</v>
      </c>
      <c r="AE122" s="399">
        <v>0</v>
      </c>
      <c r="AF122" s="399">
        <v>335171.54791182268</v>
      </c>
      <c r="AG122" s="399">
        <v>7008.3453393270966</v>
      </c>
      <c r="AH122" s="399">
        <v>0</v>
      </c>
      <c r="AI122" s="399">
        <v>0</v>
      </c>
      <c r="AJ122" s="399">
        <v>0</v>
      </c>
      <c r="AK122" s="399">
        <v>0</v>
      </c>
      <c r="AL122" s="399">
        <v>15011.409950462466</v>
      </c>
      <c r="AM122" s="399"/>
      <c r="AN122" s="399">
        <v>1097.094121035035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1321.2900086189684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336492.83792044164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483543.57739999995</v>
      </c>
      <c r="CJ122" s="399">
        <v>39408.752599999949</v>
      </c>
      <c r="CK122" s="399"/>
      <c r="CL122" s="399"/>
      <c r="CM122" s="399"/>
      <c r="CN122" s="399"/>
      <c r="CO122" s="399">
        <v>-3816.6839999999979</v>
      </c>
      <c r="CP122" s="399">
        <v>43223.946300000011</v>
      </c>
      <c r="CQ122" s="399"/>
      <c r="CR122" s="399">
        <v>39408.354409850203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0</v>
      </c>
      <c r="DA122" s="399">
        <v>0</v>
      </c>
      <c r="DB122" s="399">
        <v>0</v>
      </c>
      <c r="DC122" s="399">
        <v>43223.127429107146</v>
      </c>
      <c r="DD122" s="399">
        <v>0</v>
      </c>
      <c r="DE122" s="399">
        <v>0</v>
      </c>
      <c r="DF122" s="399">
        <v>0</v>
      </c>
      <c r="DG122" s="399">
        <v>170.39121240795203</v>
      </c>
      <c r="DH122" s="399">
        <v>0</v>
      </c>
      <c r="DI122" s="399">
        <v>-3436.3454818868922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-477.29586395810293</v>
      </c>
      <c r="DP122" s="399">
        <v>-71.522885819950943</v>
      </c>
      <c r="DQ122" s="399">
        <v>0</v>
      </c>
      <c r="DR122" s="399">
        <v>0</v>
      </c>
      <c r="DS122" s="399"/>
      <c r="DT122" s="399"/>
      <c r="DU122" s="399"/>
      <c r="DV122" s="399">
        <v>0</v>
      </c>
      <c r="DW122" s="399">
        <v>0</v>
      </c>
      <c r="DX122" s="399">
        <v>0</v>
      </c>
      <c r="DY122" s="399">
        <v>-3816.6839999999938</v>
      </c>
      <c r="DZ122" s="399">
        <v>43223.946300000011</v>
      </c>
      <c r="EA122" s="399">
        <v>0</v>
      </c>
      <c r="EB122" s="399">
        <v>0</v>
      </c>
      <c r="EC122" s="399">
        <v>0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216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954</v>
      </c>
      <c r="C123" s="399" t="s">
        <v>2360</v>
      </c>
      <c r="D123" s="399" t="s">
        <v>533</v>
      </c>
      <c r="E123" s="399" t="s">
        <v>888</v>
      </c>
      <c r="F123" s="399" t="s">
        <v>1237</v>
      </c>
      <c r="G123" s="399" t="s">
        <v>1237</v>
      </c>
      <c r="H123" s="399" t="s">
        <v>1237</v>
      </c>
      <c r="I123" s="399" t="s">
        <v>1237</v>
      </c>
      <c r="J123" s="399" t="s">
        <v>2353</v>
      </c>
      <c r="K123" s="789">
        <v>44531</v>
      </c>
      <c r="L123" s="399">
        <v>4940</v>
      </c>
      <c r="M123" s="399">
        <v>4940</v>
      </c>
      <c r="N123" s="399">
        <v>0</v>
      </c>
      <c r="O123" s="399">
        <v>0</v>
      </c>
      <c r="P123" s="399">
        <v>0</v>
      </c>
      <c r="Q123" s="399">
        <v>0</v>
      </c>
      <c r="R123" s="399">
        <v>28.04</v>
      </c>
      <c r="S123" s="399"/>
      <c r="T123" s="399"/>
      <c r="U123" s="399">
        <v>138517.6</v>
      </c>
      <c r="V123" s="399"/>
      <c r="W123" s="399">
        <v>138517.6</v>
      </c>
      <c r="X123" s="399">
        <v>104036.4</v>
      </c>
      <c r="Y123" s="399">
        <v>0</v>
      </c>
      <c r="Z123" s="399">
        <v>0</v>
      </c>
      <c r="AA123" s="399">
        <v>0</v>
      </c>
      <c r="AB123" s="399">
        <v>0</v>
      </c>
      <c r="AC123" s="399">
        <v>0</v>
      </c>
      <c r="AD123" s="399">
        <v>54689.146328851239</v>
      </c>
      <c r="AE123" s="399">
        <v>83853.041507414819</v>
      </c>
      <c r="AF123" s="399"/>
      <c r="AG123" s="399"/>
      <c r="AH123" s="399"/>
      <c r="AI123" s="399">
        <v>0</v>
      </c>
      <c r="AJ123" s="399">
        <v>0</v>
      </c>
      <c r="AK123" s="399">
        <v>0</v>
      </c>
      <c r="AL123" s="399">
        <v>0</v>
      </c>
      <c r="AM123" s="399"/>
      <c r="AN123" s="399">
        <v>0</v>
      </c>
      <c r="AO123" s="399">
        <v>0</v>
      </c>
      <c r="AP123" s="399">
        <v>0</v>
      </c>
      <c r="AQ123" s="399">
        <v>0</v>
      </c>
      <c r="AR123" s="399">
        <v>0</v>
      </c>
      <c r="AS123" s="399"/>
      <c r="AT123" s="399"/>
      <c r="AU123" s="399">
        <v>0</v>
      </c>
      <c r="AV123" s="399">
        <v>0</v>
      </c>
      <c r="AW123" s="399">
        <v>0</v>
      </c>
      <c r="AX123" s="399"/>
      <c r="AY123" s="399"/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/>
      <c r="BG123" s="399">
        <v>0</v>
      </c>
      <c r="BH123" s="399">
        <v>0</v>
      </c>
      <c r="BI123" s="399">
        <v>0</v>
      </c>
      <c r="BJ123" s="399">
        <v>0</v>
      </c>
      <c r="BK123" s="399">
        <v>329773.13</v>
      </c>
      <c r="BL123" s="399">
        <v>14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0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104036.4</v>
      </c>
      <c r="CJ123" s="399">
        <v>-34481.23000000004</v>
      </c>
      <c r="CK123" s="399"/>
      <c r="CL123" s="399"/>
      <c r="CM123" s="399"/>
      <c r="CN123" s="399"/>
      <c r="CO123" s="399">
        <v>-34481.200000000004</v>
      </c>
      <c r="CP123" s="399">
        <v>0</v>
      </c>
      <c r="CQ123" s="399"/>
      <c r="CR123" s="399">
        <v>2276.2816013389674</v>
      </c>
      <c r="CS123" s="399">
        <v>0</v>
      </c>
      <c r="CT123" s="399">
        <v>0</v>
      </c>
      <c r="CU123" s="399">
        <v>0</v>
      </c>
      <c r="CV123" s="399">
        <v>0</v>
      </c>
      <c r="CW123" s="399"/>
      <c r="CX123" s="399"/>
      <c r="CY123" s="399"/>
      <c r="CZ123" s="399">
        <v>2276.2816013389674</v>
      </c>
      <c r="DA123" s="399">
        <v>0</v>
      </c>
      <c r="DB123" s="399">
        <v>0</v>
      </c>
      <c r="DC123" s="399"/>
      <c r="DD123" s="399"/>
      <c r="DE123" s="399">
        <v>0</v>
      </c>
      <c r="DF123" s="399">
        <v>0</v>
      </c>
      <c r="DG123" s="399">
        <v>0</v>
      </c>
      <c r="DH123" s="399">
        <v>0</v>
      </c>
      <c r="DI123" s="399">
        <v>0</v>
      </c>
      <c r="DJ123" s="399"/>
      <c r="DK123" s="399">
        <v>0</v>
      </c>
      <c r="DL123" s="399">
        <v>0</v>
      </c>
      <c r="DM123" s="399"/>
      <c r="DN123" s="399">
        <v>0</v>
      </c>
      <c r="DO123" s="399">
        <v>0</v>
      </c>
      <c r="DP123" s="399">
        <v>0</v>
      </c>
      <c r="DQ123" s="399">
        <v>0</v>
      </c>
      <c r="DR123" s="399">
        <v>0</v>
      </c>
      <c r="DS123" s="399"/>
      <c r="DT123" s="399"/>
      <c r="DU123" s="399">
        <v>83853.041507414819</v>
      </c>
      <c r="DV123" s="399"/>
      <c r="DW123" s="399">
        <v>0</v>
      </c>
      <c r="DX123" s="399">
        <v>0</v>
      </c>
      <c r="DY123" s="399">
        <v>-34481.200000000012</v>
      </c>
      <c r="DZ123" s="399"/>
      <c r="EA123" s="399">
        <v>0</v>
      </c>
      <c r="EB123" s="399"/>
      <c r="EC123" s="399">
        <v>-36792.392420560296</v>
      </c>
      <c r="ED123" s="399"/>
      <c r="EE123" s="399">
        <v>0</v>
      </c>
      <c r="EF123" s="399">
        <v>0</v>
      </c>
      <c r="EG123" s="399"/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/>
      <c r="EN123" s="399"/>
      <c r="EO123" s="399">
        <v>0</v>
      </c>
      <c r="EP123" s="399">
        <v>0</v>
      </c>
      <c r="EQ123" s="399"/>
      <c r="ER123" s="399">
        <v>0</v>
      </c>
      <c r="ES123" s="399"/>
      <c r="ET123" s="399">
        <v>0</v>
      </c>
      <c r="EU123" s="399"/>
      <c r="EV123" s="399">
        <v>216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954</v>
      </c>
      <c r="C124" s="399" t="s">
        <v>2352</v>
      </c>
      <c r="D124" s="399" t="s">
        <v>1824</v>
      </c>
      <c r="E124" s="399" t="s">
        <v>916</v>
      </c>
      <c r="F124" s="399" t="s">
        <v>1237</v>
      </c>
      <c r="G124" s="399" t="s">
        <v>1237</v>
      </c>
      <c r="H124" s="399" t="s">
        <v>1237</v>
      </c>
      <c r="I124" s="399" t="s">
        <v>1237</v>
      </c>
      <c r="J124" s="399" t="s">
        <v>2353</v>
      </c>
      <c r="K124" s="789">
        <v>44531</v>
      </c>
      <c r="L124" s="399">
        <v>0</v>
      </c>
      <c r="M124" s="399">
        <v>0</v>
      </c>
      <c r="N124" s="399">
        <v>192.08699999999999</v>
      </c>
      <c r="O124" s="399">
        <v>192.08699999999999</v>
      </c>
      <c r="P124" s="399">
        <v>192.08699999999999</v>
      </c>
      <c r="Q124" s="399">
        <v>192.08699999999999</v>
      </c>
      <c r="R124" s="399"/>
      <c r="S124" s="399">
        <v>415.98</v>
      </c>
      <c r="T124" s="399">
        <v>215.17</v>
      </c>
      <c r="U124" s="399"/>
      <c r="V124" s="399">
        <v>121235.71004999999</v>
      </c>
      <c r="W124" s="399">
        <v>121235.71004999999</v>
      </c>
      <c r="X124" s="399">
        <v>105367.40298</v>
      </c>
      <c r="Y124" s="399">
        <v>0</v>
      </c>
      <c r="Z124" s="399">
        <v>11733.941368118136</v>
      </c>
      <c r="AA124" s="399">
        <v>0</v>
      </c>
      <c r="AB124" s="399">
        <v>0</v>
      </c>
      <c r="AC124" s="399">
        <v>0</v>
      </c>
      <c r="AD124" s="399">
        <v>17156.361317013423</v>
      </c>
      <c r="AE124" s="399">
        <v>48561.608937769037</v>
      </c>
      <c r="AF124" s="399">
        <v>40484.628304824779</v>
      </c>
      <c r="AG124" s="399">
        <v>846.52249829139043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1813.1949324520344</v>
      </c>
      <c r="AM124" s="399"/>
      <c r="AN124" s="399">
        <v>226.16274951801782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413.35865060413784</v>
      </c>
      <c r="BH124" s="399">
        <v>0</v>
      </c>
      <c r="BI124" s="399">
        <v>0</v>
      </c>
      <c r="BJ124" s="399">
        <v>0</v>
      </c>
      <c r="BK124" s="399">
        <v>43799.87</v>
      </c>
      <c r="BL124" s="399">
        <v>443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40897.986955428918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105369.04860000001</v>
      </c>
      <c r="CJ124" s="399">
        <v>-15866.691449999969</v>
      </c>
      <c r="CK124" s="399"/>
      <c r="CL124" s="399"/>
      <c r="CM124" s="399"/>
      <c r="CN124" s="399"/>
      <c r="CO124" s="399">
        <v>-21089.231730000003</v>
      </c>
      <c r="CP124" s="399">
        <v>5220.9246600000006</v>
      </c>
      <c r="CQ124" s="399"/>
      <c r="CR124" s="399">
        <v>5438.730905891658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714.08519301102206</v>
      </c>
      <c r="DA124" s="399">
        <v>0</v>
      </c>
      <c r="DB124" s="399">
        <v>0</v>
      </c>
      <c r="DC124" s="399">
        <v>5220.8257504000285</v>
      </c>
      <c r="DD124" s="399">
        <v>0</v>
      </c>
      <c r="DE124" s="399">
        <v>0</v>
      </c>
      <c r="DF124" s="399">
        <v>0</v>
      </c>
      <c r="DG124" s="399">
        <v>53.305997302871162</v>
      </c>
      <c r="DH124" s="399">
        <v>0</v>
      </c>
      <c r="DI124" s="399">
        <v>-477.09029136231402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-57.651509396190022</v>
      </c>
      <c r="DP124" s="399">
        <v>-14.744234063747911</v>
      </c>
      <c r="DQ124" s="399">
        <v>0</v>
      </c>
      <c r="DR124" s="399">
        <v>0</v>
      </c>
      <c r="DS124" s="399"/>
      <c r="DT124" s="399"/>
      <c r="DU124" s="399"/>
      <c r="DV124" s="399">
        <v>48561.608937769037</v>
      </c>
      <c r="DW124" s="399">
        <v>0</v>
      </c>
      <c r="DX124" s="399">
        <v>0</v>
      </c>
      <c r="DY124" s="399">
        <v>-21089.231729999992</v>
      </c>
      <c r="DZ124" s="399">
        <v>5220.9246600000042</v>
      </c>
      <c r="EA124" s="399">
        <v>0</v>
      </c>
      <c r="EB124" s="399">
        <v>0</v>
      </c>
      <c r="EC124" s="399">
        <v>-21307.489155944273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216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2355</v>
      </c>
      <c r="C125" s="399" t="s">
        <v>2352</v>
      </c>
      <c r="D125" s="399" t="s">
        <v>1824</v>
      </c>
      <c r="E125" s="399" t="s">
        <v>916</v>
      </c>
      <c r="F125" s="399" t="s">
        <v>1237</v>
      </c>
      <c r="G125" s="399" t="s">
        <v>1237</v>
      </c>
      <c r="H125" s="399" t="s">
        <v>1237</v>
      </c>
      <c r="I125" s="399" t="s">
        <v>1237</v>
      </c>
      <c r="J125" s="399" t="s">
        <v>2353</v>
      </c>
      <c r="K125" s="789">
        <v>44531</v>
      </c>
      <c r="L125" s="399">
        <v>0</v>
      </c>
      <c r="M125" s="399">
        <v>0</v>
      </c>
      <c r="N125" s="399">
        <v>1.4910000000000001</v>
      </c>
      <c r="O125" s="399">
        <v>1.4910000000000001</v>
      </c>
      <c r="P125" s="399">
        <v>1.4910000000000001</v>
      </c>
      <c r="Q125" s="399">
        <v>1.4910000000000001</v>
      </c>
      <c r="R125" s="399"/>
      <c r="S125" s="399">
        <v>415.98</v>
      </c>
      <c r="T125" s="399">
        <v>215.17</v>
      </c>
      <c r="U125" s="399"/>
      <c r="V125" s="399">
        <v>941.04465000000005</v>
      </c>
      <c r="W125" s="399">
        <v>941.04465000000005</v>
      </c>
      <c r="X125" s="399">
        <v>817.87314000000003</v>
      </c>
      <c r="Y125" s="399">
        <v>0</v>
      </c>
      <c r="Z125" s="399">
        <v>91.080117758433119</v>
      </c>
      <c r="AA125" s="399">
        <v>0</v>
      </c>
      <c r="AB125" s="399">
        <v>0</v>
      </c>
      <c r="AC125" s="399">
        <v>0</v>
      </c>
      <c r="AD125" s="399">
        <v>133.16952591100397</v>
      </c>
      <c r="AE125" s="399">
        <v>376.94044326900644</v>
      </c>
      <c r="AF125" s="399">
        <v>314.24604893872959</v>
      </c>
      <c r="AG125" s="399">
        <v>6.5707988825504247</v>
      </c>
      <c r="AH125" s="399">
        <v>0</v>
      </c>
      <c r="AI125" s="399">
        <v>0</v>
      </c>
      <c r="AJ125" s="399">
        <v>0</v>
      </c>
      <c r="AK125" s="399">
        <v>0</v>
      </c>
      <c r="AL125" s="399">
        <v>14.074214518868969</v>
      </c>
      <c r="AM125" s="399"/>
      <c r="AN125" s="399">
        <v>1.7554996409510515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3.2085344039459702</v>
      </c>
      <c r="BH125" s="399">
        <v>0</v>
      </c>
      <c r="BI125" s="399">
        <v>0</v>
      </c>
      <c r="BJ125" s="399">
        <v>0</v>
      </c>
      <c r="BK125" s="399">
        <v>1266.53</v>
      </c>
      <c r="BL125" s="399">
        <v>8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317.45458334267556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817.32459999999992</v>
      </c>
      <c r="CJ125" s="399">
        <v>-123.7500500000001</v>
      </c>
      <c r="CK125" s="399"/>
      <c r="CL125" s="399"/>
      <c r="CM125" s="399"/>
      <c r="CN125" s="399"/>
      <c r="CO125" s="399">
        <v>-163.69689000000005</v>
      </c>
      <c r="CP125" s="399">
        <v>40.525380000000013</v>
      </c>
      <c r="CQ125" s="399"/>
      <c r="CR125" s="399">
        <v>42.216015559014863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5.5428062428973703</v>
      </c>
      <c r="DA125" s="399">
        <v>0</v>
      </c>
      <c r="DB125" s="399">
        <v>0</v>
      </c>
      <c r="DC125" s="399">
        <v>40.524612253023065</v>
      </c>
      <c r="DD125" s="399">
        <v>0</v>
      </c>
      <c r="DE125" s="399">
        <v>0</v>
      </c>
      <c r="DF125" s="399">
        <v>0</v>
      </c>
      <c r="DG125" s="399">
        <v>0.41376689717982451</v>
      </c>
      <c r="DH125" s="399">
        <v>0</v>
      </c>
      <c r="DI125" s="399">
        <v>-3.7032262694571187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-0.44749723047223</v>
      </c>
      <c r="DP125" s="399">
        <v>-0.11444633415612793</v>
      </c>
      <c r="DQ125" s="399">
        <v>0</v>
      </c>
      <c r="DR125" s="399">
        <v>0</v>
      </c>
      <c r="DS125" s="399"/>
      <c r="DT125" s="399"/>
      <c r="DU125" s="399"/>
      <c r="DV125" s="399">
        <v>376.94044326900644</v>
      </c>
      <c r="DW125" s="399">
        <v>0</v>
      </c>
      <c r="DX125" s="399">
        <v>0</v>
      </c>
      <c r="DY125" s="399">
        <v>-163.69689000000011</v>
      </c>
      <c r="DZ125" s="399">
        <v>40.525380000000041</v>
      </c>
      <c r="EA125" s="399">
        <v>0</v>
      </c>
      <c r="EB125" s="399">
        <v>0</v>
      </c>
      <c r="EC125" s="399">
        <v>-165.39102766721805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216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954</v>
      </c>
      <c r="C126" s="399" t="s">
        <v>2360</v>
      </c>
      <c r="D126" s="399" t="s">
        <v>533</v>
      </c>
      <c r="E126" s="399" t="s">
        <v>916</v>
      </c>
      <c r="F126" s="399" t="s">
        <v>1237</v>
      </c>
      <c r="G126" s="399" t="s">
        <v>1237</v>
      </c>
      <c r="H126" s="399" t="s">
        <v>1237</v>
      </c>
      <c r="I126" s="399" t="s">
        <v>891</v>
      </c>
      <c r="J126" s="399" t="s">
        <v>2353</v>
      </c>
      <c r="K126" s="789">
        <v>44531</v>
      </c>
      <c r="L126" s="399">
        <v>0</v>
      </c>
      <c r="M126" s="399">
        <v>0</v>
      </c>
      <c r="N126" s="399">
        <v>3.2309999999999999</v>
      </c>
      <c r="O126" s="399">
        <v>3.2309999999999999</v>
      </c>
      <c r="P126" s="399">
        <v>3.2309999999999999</v>
      </c>
      <c r="Q126" s="399">
        <v>3.2309999999999999</v>
      </c>
      <c r="R126" s="399"/>
      <c r="S126" s="399">
        <v>2184.0300000000002</v>
      </c>
      <c r="T126" s="399">
        <v>215.17</v>
      </c>
      <c r="U126" s="399"/>
      <c r="V126" s="399">
        <v>7751.8152000000009</v>
      </c>
      <c r="W126" s="399">
        <v>7751.8152000000009</v>
      </c>
      <c r="X126" s="399">
        <v>5849.3700899999994</v>
      </c>
      <c r="Y126" s="399">
        <v>0</v>
      </c>
      <c r="Z126" s="399">
        <v>171.71259464481719</v>
      </c>
      <c r="AA126" s="399">
        <v>0</v>
      </c>
      <c r="AB126" s="399">
        <v>0</v>
      </c>
      <c r="AC126" s="399">
        <v>0</v>
      </c>
      <c r="AD126" s="399">
        <v>2129.2104739408019</v>
      </c>
      <c r="AE126" s="399">
        <v>4720.2586138158686</v>
      </c>
      <c r="AF126" s="399">
        <v>680.97182033603974</v>
      </c>
      <c r="AG126" s="399">
        <v>14.238934399410073</v>
      </c>
      <c r="AH126" s="399">
        <v>0</v>
      </c>
      <c r="AI126" s="399">
        <v>0</v>
      </c>
      <c r="AJ126" s="399">
        <v>0</v>
      </c>
      <c r="AK126" s="399">
        <v>0</v>
      </c>
      <c r="AL126" s="399">
        <v>30.498851180728124</v>
      </c>
      <c r="AM126" s="399"/>
      <c r="AN126" s="399">
        <v>2.228978519613904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2.6844798371662226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683.65630017320598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5847.5596999999998</v>
      </c>
      <c r="CJ126" s="399">
        <v>-1904.2855000000018</v>
      </c>
      <c r="CK126" s="399"/>
      <c r="CL126" s="399"/>
      <c r="CM126" s="399"/>
      <c r="CN126" s="399"/>
      <c r="CO126" s="399">
        <v>-1990.2636900000007</v>
      </c>
      <c r="CP126" s="399">
        <v>87.818580000000026</v>
      </c>
      <c r="CQ126" s="399"/>
      <c r="CR126" s="399">
        <v>168.68878469181982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88.622385839899835</v>
      </c>
      <c r="DA126" s="399">
        <v>0</v>
      </c>
      <c r="DB126" s="399">
        <v>0</v>
      </c>
      <c r="DC126" s="399">
        <v>87.81691629075624</v>
      </c>
      <c r="DD126" s="399">
        <v>0</v>
      </c>
      <c r="DE126" s="399">
        <v>0</v>
      </c>
      <c r="DF126" s="399">
        <v>0</v>
      </c>
      <c r="DG126" s="399">
        <v>0.34618575116415817</v>
      </c>
      <c r="DH126" s="399">
        <v>0</v>
      </c>
      <c r="DI126" s="399">
        <v>-6.9816619360533423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-0.96972739883016601</v>
      </c>
      <c r="DP126" s="399">
        <v>-0.14531385511669992</v>
      </c>
      <c r="DQ126" s="399">
        <v>0</v>
      </c>
      <c r="DR126" s="399">
        <v>0</v>
      </c>
      <c r="DS126" s="399"/>
      <c r="DT126" s="399"/>
      <c r="DU126" s="399"/>
      <c r="DV126" s="399">
        <v>4720.2586138158686</v>
      </c>
      <c r="DW126" s="399">
        <v>0</v>
      </c>
      <c r="DX126" s="399">
        <v>0</v>
      </c>
      <c r="DY126" s="399">
        <v>-1990.2636900000007</v>
      </c>
      <c r="DZ126" s="399">
        <v>87.818579999999997</v>
      </c>
      <c r="EA126" s="399">
        <v>0</v>
      </c>
      <c r="EB126" s="399">
        <v>0</v>
      </c>
      <c r="EC126" s="399">
        <v>-2071.1187587713957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216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954</v>
      </c>
      <c r="C127" s="399" t="s">
        <v>2360</v>
      </c>
      <c r="D127" s="399" t="s">
        <v>533</v>
      </c>
      <c r="E127" s="399" t="s">
        <v>916</v>
      </c>
      <c r="F127" s="399" t="s">
        <v>1237</v>
      </c>
      <c r="G127" s="399" t="s">
        <v>1237</v>
      </c>
      <c r="H127" s="399" t="s">
        <v>1237</v>
      </c>
      <c r="I127" s="399" t="s">
        <v>2327</v>
      </c>
      <c r="J127" s="399" t="s">
        <v>2353</v>
      </c>
      <c r="K127" s="789">
        <v>44531</v>
      </c>
      <c r="L127" s="399">
        <v>0</v>
      </c>
      <c r="M127" s="399">
        <v>0</v>
      </c>
      <c r="N127" s="399">
        <v>32.871000000000002</v>
      </c>
      <c r="O127" s="399">
        <v>32.871000000000002</v>
      </c>
      <c r="P127" s="399">
        <v>32.871000000000002</v>
      </c>
      <c r="Q127" s="399">
        <v>32.871000000000002</v>
      </c>
      <c r="R127" s="399"/>
      <c r="S127" s="399">
        <v>64.11</v>
      </c>
      <c r="T127" s="399">
        <v>215.17</v>
      </c>
      <c r="U127" s="399"/>
      <c r="V127" s="399">
        <v>9180.2128799999991</v>
      </c>
      <c r="W127" s="399">
        <v>9180.2128799999991</v>
      </c>
      <c r="X127" s="399">
        <v>9994.7562600000001</v>
      </c>
      <c r="Y127" s="399">
        <v>0</v>
      </c>
      <c r="Z127" s="399">
        <v>1746.9404823800019</v>
      </c>
      <c r="AA127" s="399">
        <v>0</v>
      </c>
      <c r="AB127" s="399">
        <v>0</v>
      </c>
      <c r="AC127" s="399">
        <v>0</v>
      </c>
      <c r="AD127" s="399">
        <v>0</v>
      </c>
      <c r="AE127" s="399">
        <v>0</v>
      </c>
      <c r="AF127" s="399">
        <v>6927.9556503453923</v>
      </c>
      <c r="AG127" s="399">
        <v>144.86165665212275</v>
      </c>
      <c r="AH127" s="399">
        <v>0</v>
      </c>
      <c r="AI127" s="399">
        <v>0</v>
      </c>
      <c r="AJ127" s="399">
        <v>0</v>
      </c>
      <c r="AK127" s="399">
        <v>0</v>
      </c>
      <c r="AL127" s="399">
        <v>310.28404121377724</v>
      </c>
      <c r="AM127" s="399"/>
      <c r="AN127" s="399">
        <v>22.676803750612397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27.310905827140488</v>
      </c>
      <c r="BH127" s="399">
        <v>0</v>
      </c>
      <c r="BI127" s="399">
        <v>0</v>
      </c>
      <c r="BJ127" s="399">
        <v>0</v>
      </c>
      <c r="BK127" s="399">
        <v>0</v>
      </c>
      <c r="BL127" s="399">
        <v>0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6955.2665561725325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9994.4521999999997</v>
      </c>
      <c r="CJ127" s="399">
        <v>814.20931999999993</v>
      </c>
      <c r="CK127" s="399"/>
      <c r="CL127" s="399"/>
      <c r="CM127" s="399"/>
      <c r="CN127" s="399"/>
      <c r="CO127" s="399">
        <v>-78.890399999999957</v>
      </c>
      <c r="CP127" s="399">
        <v>893.4337800000003</v>
      </c>
      <c r="CQ127" s="399"/>
      <c r="CR127" s="399">
        <v>814.56595377947087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0</v>
      </c>
      <c r="DA127" s="399">
        <v>0</v>
      </c>
      <c r="DB127" s="399">
        <v>0</v>
      </c>
      <c r="DC127" s="399">
        <v>893.41685403697011</v>
      </c>
      <c r="DD127" s="399">
        <v>0</v>
      </c>
      <c r="DE127" s="399">
        <v>0</v>
      </c>
      <c r="DF127" s="399">
        <v>0</v>
      </c>
      <c r="DG127" s="399">
        <v>3.5219659011194828</v>
      </c>
      <c r="DH127" s="399">
        <v>0</v>
      </c>
      <c r="DI127" s="399">
        <v>-71.028848498919615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-9.8656481977549788</v>
      </c>
      <c r="DP127" s="399">
        <v>-1.4783694619439949</v>
      </c>
      <c r="DQ127" s="399">
        <v>0</v>
      </c>
      <c r="DR127" s="399">
        <v>0</v>
      </c>
      <c r="DS127" s="399"/>
      <c r="DT127" s="399"/>
      <c r="DU127" s="399"/>
      <c r="DV127" s="399">
        <v>0</v>
      </c>
      <c r="DW127" s="399">
        <v>0</v>
      </c>
      <c r="DX127" s="399">
        <v>0</v>
      </c>
      <c r="DY127" s="399">
        <v>-78.890399999999772</v>
      </c>
      <c r="DZ127" s="399">
        <v>893.4337800000003</v>
      </c>
      <c r="EA127" s="399">
        <v>0</v>
      </c>
      <c r="EB127" s="399">
        <v>0</v>
      </c>
      <c r="EC127" s="399">
        <v>0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216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954</v>
      </c>
      <c r="C128" s="399" t="s">
        <v>2360</v>
      </c>
      <c r="D128" s="399" t="s">
        <v>533</v>
      </c>
      <c r="E128" s="399" t="s">
        <v>916</v>
      </c>
      <c r="F128" s="399" t="s">
        <v>1237</v>
      </c>
      <c r="G128" s="399" t="s">
        <v>1237</v>
      </c>
      <c r="H128" s="399" t="s">
        <v>1237</v>
      </c>
      <c r="I128" s="399" t="s">
        <v>1237</v>
      </c>
      <c r="J128" s="399" t="s">
        <v>2353</v>
      </c>
      <c r="K128" s="789">
        <v>44531</v>
      </c>
      <c r="L128" s="399">
        <v>112</v>
      </c>
      <c r="M128" s="399">
        <v>112</v>
      </c>
      <c r="N128" s="399">
        <v>0</v>
      </c>
      <c r="O128" s="399">
        <v>0</v>
      </c>
      <c r="P128" s="399">
        <v>0</v>
      </c>
      <c r="Q128" s="399">
        <v>0</v>
      </c>
      <c r="R128" s="399">
        <v>28.04</v>
      </c>
      <c r="S128" s="399"/>
      <c r="T128" s="399"/>
      <c r="U128" s="399">
        <v>3140.48</v>
      </c>
      <c r="V128" s="399"/>
      <c r="W128" s="399">
        <v>3140.48</v>
      </c>
      <c r="X128" s="399">
        <v>2358.7199999999998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1239.9158681844815</v>
      </c>
      <c r="AE128" s="399">
        <v>1901.1215888320769</v>
      </c>
      <c r="AF128" s="399"/>
      <c r="AG128" s="399"/>
      <c r="AH128" s="399"/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0</v>
      </c>
      <c r="AO128" s="399">
        <v>0</v>
      </c>
      <c r="AP128" s="399">
        <v>0</v>
      </c>
      <c r="AQ128" s="399">
        <v>0</v>
      </c>
      <c r="AR128" s="399">
        <v>0</v>
      </c>
      <c r="AS128" s="399"/>
      <c r="AT128" s="399"/>
      <c r="AU128" s="399">
        <v>0</v>
      </c>
      <c r="AV128" s="399">
        <v>0</v>
      </c>
      <c r="AW128" s="399">
        <v>0</v>
      </c>
      <c r="AX128" s="399"/>
      <c r="AY128" s="399"/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/>
      <c r="BG128" s="399">
        <v>0</v>
      </c>
      <c r="BH128" s="399">
        <v>0</v>
      </c>
      <c r="BI128" s="399">
        <v>0</v>
      </c>
      <c r="BJ128" s="399">
        <v>0</v>
      </c>
      <c r="BK128" s="399">
        <v>7065.19</v>
      </c>
      <c r="BL128" s="399">
        <v>1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0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2358.7199999999998</v>
      </c>
      <c r="CJ128" s="399">
        <v>-781.79000000000087</v>
      </c>
      <c r="CK128" s="399"/>
      <c r="CL128" s="399"/>
      <c r="CM128" s="399"/>
      <c r="CN128" s="399"/>
      <c r="CO128" s="399">
        <v>-781.76</v>
      </c>
      <c r="CP128" s="399">
        <v>0</v>
      </c>
      <c r="CQ128" s="399"/>
      <c r="CR128" s="399">
        <v>51.608003916996722</v>
      </c>
      <c r="CS128" s="399">
        <v>0</v>
      </c>
      <c r="CT128" s="399">
        <v>0</v>
      </c>
      <c r="CU128" s="399">
        <v>0</v>
      </c>
      <c r="CV128" s="399">
        <v>0</v>
      </c>
      <c r="CW128" s="399"/>
      <c r="CX128" s="399"/>
      <c r="CY128" s="399"/>
      <c r="CZ128" s="399">
        <v>51.608003916996722</v>
      </c>
      <c r="DA128" s="399">
        <v>0</v>
      </c>
      <c r="DB128" s="399">
        <v>0</v>
      </c>
      <c r="DC128" s="399"/>
      <c r="DD128" s="399"/>
      <c r="DE128" s="399">
        <v>0</v>
      </c>
      <c r="DF128" s="399">
        <v>0</v>
      </c>
      <c r="DG128" s="399">
        <v>0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/>
      <c r="DN128" s="399">
        <v>0</v>
      </c>
      <c r="DO128" s="399">
        <v>0</v>
      </c>
      <c r="DP128" s="399">
        <v>0</v>
      </c>
      <c r="DQ128" s="399">
        <v>0</v>
      </c>
      <c r="DR128" s="399">
        <v>0</v>
      </c>
      <c r="DS128" s="399"/>
      <c r="DT128" s="399"/>
      <c r="DU128" s="399">
        <v>1901.1215888320769</v>
      </c>
      <c r="DV128" s="399"/>
      <c r="DW128" s="399">
        <v>0</v>
      </c>
      <c r="DX128" s="399">
        <v>0</v>
      </c>
      <c r="DY128" s="399">
        <v>-781.76000000000022</v>
      </c>
      <c r="DZ128" s="399"/>
      <c r="EA128" s="399">
        <v>0</v>
      </c>
      <c r="EB128" s="399"/>
      <c r="EC128" s="399">
        <v>-834.15950427181247</v>
      </c>
      <c r="ED128" s="399"/>
      <c r="EE128" s="399">
        <v>0</v>
      </c>
      <c r="EF128" s="399">
        <v>0</v>
      </c>
      <c r="EG128" s="399"/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/>
      <c r="EN128" s="399"/>
      <c r="EO128" s="399">
        <v>0</v>
      </c>
      <c r="EP128" s="399">
        <v>0</v>
      </c>
      <c r="EQ128" s="399"/>
      <c r="ER128" s="399">
        <v>0</v>
      </c>
      <c r="ES128" s="399"/>
      <c r="ET128" s="399">
        <v>0</v>
      </c>
      <c r="EU128" s="399"/>
      <c r="EV128" s="399">
        <v>216</v>
      </c>
      <c r="EW128" s="399"/>
      <c r="EX128" s="399"/>
      <c r="EY128" s="399"/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954</v>
      </c>
      <c r="C129" s="399" t="s">
        <v>2361</v>
      </c>
      <c r="D129" s="399" t="s">
        <v>1824</v>
      </c>
      <c r="E129" s="399" t="s">
        <v>916</v>
      </c>
      <c r="F129" s="399" t="s">
        <v>1237</v>
      </c>
      <c r="G129" s="399" t="s">
        <v>1237</v>
      </c>
      <c r="H129" s="399" t="s">
        <v>1237</v>
      </c>
      <c r="I129" s="399" t="s">
        <v>891</v>
      </c>
      <c r="J129" s="399" t="s">
        <v>2353</v>
      </c>
      <c r="K129" s="789">
        <v>44531</v>
      </c>
      <c r="L129" s="399">
        <v>0</v>
      </c>
      <c r="M129" s="399">
        <v>0</v>
      </c>
      <c r="N129" s="399">
        <v>5.7000000000000002E-2</v>
      </c>
      <c r="O129" s="399">
        <v>5.7000000000000002E-2</v>
      </c>
      <c r="P129" s="399">
        <v>5.7000000000000002E-2</v>
      </c>
      <c r="Q129" s="399">
        <v>5.7000000000000002E-2</v>
      </c>
      <c r="R129" s="399"/>
      <c r="S129" s="399">
        <v>1254.27</v>
      </c>
      <c r="T129" s="399">
        <v>215.17</v>
      </c>
      <c r="U129" s="399"/>
      <c r="V129" s="399">
        <v>83.758080000000007</v>
      </c>
      <c r="W129" s="399">
        <v>83.758080000000007</v>
      </c>
      <c r="X129" s="399">
        <v>64.077690000000004</v>
      </c>
      <c r="Y129" s="399">
        <v>0</v>
      </c>
      <c r="Z129" s="399">
        <v>3.4819360913686705</v>
      </c>
      <c r="AA129" s="399">
        <v>0</v>
      </c>
      <c r="AB129" s="399">
        <v>0</v>
      </c>
      <c r="AC129" s="399">
        <v>0</v>
      </c>
      <c r="AD129" s="399">
        <v>17.568300506650989</v>
      </c>
      <c r="AE129" s="399">
        <v>49.715168600847008</v>
      </c>
      <c r="AF129" s="399">
        <v>12.013430442325678</v>
      </c>
      <c r="AG129" s="399">
        <v>0.25119754279367817</v>
      </c>
      <c r="AH129" s="399">
        <v>0</v>
      </c>
      <c r="AI129" s="399">
        <v>0</v>
      </c>
      <c r="AJ129" s="399">
        <v>0</v>
      </c>
      <c r="AK129" s="399">
        <v>0</v>
      </c>
      <c r="AL129" s="399">
        <v>0.53804844237124827</v>
      </c>
      <c r="AM129" s="399"/>
      <c r="AN129" s="399">
        <v>6.7111656293903379E-2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0.12266026896372924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12.136090711289407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67.450199999999995</v>
      </c>
      <c r="CJ129" s="399">
        <v>-16.337880000000027</v>
      </c>
      <c r="CK129" s="399"/>
      <c r="CL129" s="399"/>
      <c r="CM129" s="399"/>
      <c r="CN129" s="399"/>
      <c r="CO129" s="399">
        <v>-21.229649999999996</v>
      </c>
      <c r="CP129" s="399">
        <v>1.5492600000000005</v>
      </c>
      <c r="CQ129" s="399"/>
      <c r="CR129" s="399">
        <v>2.1332249184482279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0.73123100093065574</v>
      </c>
      <c r="DA129" s="399">
        <v>0</v>
      </c>
      <c r="DB129" s="399">
        <v>0</v>
      </c>
      <c r="DC129" s="399">
        <v>1.5492306495119479</v>
      </c>
      <c r="DD129" s="399">
        <v>0</v>
      </c>
      <c r="DE129" s="399">
        <v>0</v>
      </c>
      <c r="DF129" s="399">
        <v>0</v>
      </c>
      <c r="DG129" s="399">
        <v>1.581805039520455E-2</v>
      </c>
      <c r="DH129" s="399">
        <v>0</v>
      </c>
      <c r="DI129" s="399">
        <v>-0.14157203042190236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-1.7107539997932353E-2</v>
      </c>
      <c r="DP129" s="399">
        <v>-4.3752119697513803E-3</v>
      </c>
      <c r="DQ129" s="399">
        <v>0</v>
      </c>
      <c r="DR129" s="399">
        <v>0</v>
      </c>
      <c r="DS129" s="399"/>
      <c r="DT129" s="399"/>
      <c r="DU129" s="399"/>
      <c r="DV129" s="399">
        <v>49.715168600847008</v>
      </c>
      <c r="DW129" s="399">
        <v>0</v>
      </c>
      <c r="DX129" s="399">
        <v>0</v>
      </c>
      <c r="DY129" s="399">
        <v>-21.229649999999999</v>
      </c>
      <c r="DZ129" s="399">
        <v>1.5492600000000003</v>
      </c>
      <c r="EA129" s="399">
        <v>0</v>
      </c>
      <c r="EB129" s="399">
        <v>0</v>
      </c>
      <c r="EC129" s="399">
        <v>-21.81363918987882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216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954</v>
      </c>
      <c r="C130" s="399" t="s">
        <v>2361</v>
      </c>
      <c r="D130" s="399" t="s">
        <v>1824</v>
      </c>
      <c r="E130" s="399" t="s">
        <v>916</v>
      </c>
      <c r="F130" s="399" t="s">
        <v>1237</v>
      </c>
      <c r="G130" s="399" t="s">
        <v>1237</v>
      </c>
      <c r="H130" s="399" t="s">
        <v>1237</v>
      </c>
      <c r="I130" s="399" t="s">
        <v>2327</v>
      </c>
      <c r="J130" s="399" t="s">
        <v>2353</v>
      </c>
      <c r="K130" s="789">
        <v>44531</v>
      </c>
      <c r="L130" s="399">
        <v>0</v>
      </c>
      <c r="M130" s="399">
        <v>0</v>
      </c>
      <c r="N130" s="399">
        <v>0.747</v>
      </c>
      <c r="O130" s="399">
        <v>0.747</v>
      </c>
      <c r="P130" s="399">
        <v>0.747</v>
      </c>
      <c r="Q130" s="399">
        <v>0.747</v>
      </c>
      <c r="R130" s="399"/>
      <c r="S130" s="399">
        <v>309.91000000000003</v>
      </c>
      <c r="T130" s="399">
        <v>215.17</v>
      </c>
      <c r="U130" s="399"/>
      <c r="V130" s="399">
        <v>392.23476000000005</v>
      </c>
      <c r="W130" s="399">
        <v>392.23476000000005</v>
      </c>
      <c r="X130" s="399">
        <v>355.34789999999998</v>
      </c>
      <c r="Y130" s="399">
        <v>0</v>
      </c>
      <c r="Z130" s="399">
        <v>45.631688776357841</v>
      </c>
      <c r="AA130" s="399">
        <v>0</v>
      </c>
      <c r="AB130" s="399">
        <v>0</v>
      </c>
      <c r="AC130" s="399">
        <v>0</v>
      </c>
      <c r="AD130" s="399">
        <v>46.027652792468587</v>
      </c>
      <c r="AE130" s="399">
        <v>130.30619702669208</v>
      </c>
      <c r="AF130" s="399">
        <v>157.43916737574179</v>
      </c>
      <c r="AG130" s="399">
        <v>3.2920099029276773</v>
      </c>
      <c r="AH130" s="399">
        <v>0</v>
      </c>
      <c r="AI130" s="399">
        <v>0</v>
      </c>
      <c r="AJ130" s="399">
        <v>0</v>
      </c>
      <c r="AK130" s="399">
        <v>0</v>
      </c>
      <c r="AL130" s="399">
        <v>7.0512664289705693</v>
      </c>
      <c r="AM130" s="399"/>
      <c r="AN130" s="399">
        <v>0.87951591669378626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1.60749510378782</v>
      </c>
      <c r="BH130" s="399">
        <v>0</v>
      </c>
      <c r="BI130" s="399">
        <v>0</v>
      </c>
      <c r="BJ130" s="399">
        <v>0</v>
      </c>
      <c r="BK130" s="399">
        <v>0</v>
      </c>
      <c r="BL130" s="399">
        <v>0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159.0466624795296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356.77499999999998</v>
      </c>
      <c r="CJ130" s="399">
        <v>-35.489760000000047</v>
      </c>
      <c r="CK130" s="399"/>
      <c r="CL130" s="399"/>
      <c r="CM130" s="399"/>
      <c r="CN130" s="399"/>
      <c r="CO130" s="399">
        <v>-57.190320000000021</v>
      </c>
      <c r="CP130" s="399">
        <v>20.303460000000005</v>
      </c>
      <c r="CQ130" s="399"/>
      <c r="CR130" s="399">
        <v>20.289270575904254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1.9157713410687265</v>
      </c>
      <c r="DA130" s="399">
        <v>0</v>
      </c>
      <c r="DB130" s="399">
        <v>0</v>
      </c>
      <c r="DC130" s="399">
        <v>20.303075354130272</v>
      </c>
      <c r="DD130" s="399">
        <v>0</v>
      </c>
      <c r="DE130" s="399">
        <v>0</v>
      </c>
      <c r="DF130" s="399">
        <v>0</v>
      </c>
      <c r="DG130" s="399">
        <v>0.20729971307399642</v>
      </c>
      <c r="DH130" s="399">
        <v>0</v>
      </c>
      <c r="DI130" s="399">
        <v>-1.8553387144765097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-0.22419881365711358</v>
      </c>
      <c r="DP130" s="399">
        <v>-5.7338304235162618E-2</v>
      </c>
      <c r="DQ130" s="399">
        <v>0</v>
      </c>
      <c r="DR130" s="399">
        <v>0</v>
      </c>
      <c r="DS130" s="399"/>
      <c r="DT130" s="399"/>
      <c r="DU130" s="399"/>
      <c r="DV130" s="399">
        <v>130.30619702669208</v>
      </c>
      <c r="DW130" s="399">
        <v>0</v>
      </c>
      <c r="DX130" s="399">
        <v>0</v>
      </c>
      <c r="DY130" s="399">
        <v>-57.190320000000042</v>
      </c>
      <c r="DZ130" s="399">
        <v>20.303460000000001</v>
      </c>
      <c r="EA130" s="399">
        <v>0</v>
      </c>
      <c r="EB130" s="399">
        <v>0</v>
      </c>
      <c r="EC130" s="399">
        <v>-57.174750607143565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216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954</v>
      </c>
      <c r="C131" s="399" t="s">
        <v>2361</v>
      </c>
      <c r="D131" s="399" t="s">
        <v>1824</v>
      </c>
      <c r="E131" s="399" t="s">
        <v>916</v>
      </c>
      <c r="F131" s="399" t="s">
        <v>1237</v>
      </c>
      <c r="G131" s="399" t="s">
        <v>1237</v>
      </c>
      <c r="H131" s="399" t="s">
        <v>1237</v>
      </c>
      <c r="I131" s="399" t="s">
        <v>1237</v>
      </c>
      <c r="J131" s="399" t="s">
        <v>2353</v>
      </c>
      <c r="K131" s="789">
        <v>44531</v>
      </c>
      <c r="L131" s="399">
        <v>0</v>
      </c>
      <c r="M131" s="399">
        <v>0</v>
      </c>
      <c r="N131" s="399">
        <v>0</v>
      </c>
      <c r="O131" s="399">
        <v>0</v>
      </c>
      <c r="P131" s="399">
        <v>0</v>
      </c>
      <c r="Q131" s="399">
        <v>0</v>
      </c>
      <c r="R131" s="399"/>
      <c r="S131" s="399"/>
      <c r="T131" s="399"/>
      <c r="U131" s="399"/>
      <c r="V131" s="399"/>
      <c r="W131" s="399"/>
      <c r="X131" s="399"/>
      <c r="Y131" s="399"/>
      <c r="Z131" s="399"/>
      <c r="AA131" s="399">
        <v>0</v>
      </c>
      <c r="AB131" s="399"/>
      <c r="AC131" s="399"/>
      <c r="AD131" s="399"/>
      <c r="AE131" s="399"/>
      <c r="AF131" s="399"/>
      <c r="AG131" s="399"/>
      <c r="AH131" s="399"/>
      <c r="AI131" s="399"/>
      <c r="AJ131" s="399"/>
      <c r="AK131" s="399"/>
      <c r="AL131" s="399"/>
      <c r="AM131" s="399"/>
      <c r="AN131" s="399"/>
      <c r="AO131" s="399"/>
      <c r="AP131" s="399"/>
      <c r="AQ131" s="399"/>
      <c r="AR131" s="399"/>
      <c r="AS131" s="399"/>
      <c r="AT131" s="399"/>
      <c r="AU131" s="399"/>
      <c r="AV131" s="399"/>
      <c r="AW131" s="399"/>
      <c r="AX131" s="399"/>
      <c r="AY131" s="399"/>
      <c r="AZ131" s="399">
        <v>0</v>
      </c>
      <c r="BA131" s="399"/>
      <c r="BB131" s="399"/>
      <c r="BC131" s="399"/>
      <c r="BD131" s="399"/>
      <c r="BE131" s="399"/>
      <c r="BF131" s="399"/>
      <c r="BG131" s="399"/>
      <c r="BH131" s="399"/>
      <c r="BI131" s="399">
        <v>0</v>
      </c>
      <c r="BJ131" s="399">
        <v>0</v>
      </c>
      <c r="BK131" s="399">
        <v>189.78</v>
      </c>
      <c r="BL131" s="399">
        <v>1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/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/>
      <c r="CJ131" s="399">
        <v>-0.03</v>
      </c>
      <c r="CK131" s="399"/>
      <c r="CL131" s="399"/>
      <c r="CM131" s="399"/>
      <c r="CN131" s="399"/>
      <c r="CO131" s="399">
        <v>0</v>
      </c>
      <c r="CP131" s="399">
        <v>0</v>
      </c>
      <c r="CQ131" s="399"/>
      <c r="CR131" s="399"/>
      <c r="CS131" s="399"/>
      <c r="CT131" s="399"/>
      <c r="CU131" s="399"/>
      <c r="CV131" s="399"/>
      <c r="CW131" s="399"/>
      <c r="CX131" s="399"/>
      <c r="CY131" s="399"/>
      <c r="CZ131" s="399"/>
      <c r="DA131" s="399"/>
      <c r="DB131" s="399"/>
      <c r="DC131" s="399"/>
      <c r="DD131" s="399"/>
      <c r="DE131" s="399"/>
      <c r="DF131" s="399"/>
      <c r="DG131" s="399"/>
      <c r="DH131" s="399"/>
      <c r="DI131" s="399"/>
      <c r="DJ131" s="399"/>
      <c r="DK131" s="399">
        <v>0</v>
      </c>
      <c r="DL131" s="399"/>
      <c r="DM131" s="399"/>
      <c r="DN131" s="399"/>
      <c r="DO131" s="399"/>
      <c r="DP131" s="399"/>
      <c r="DQ131" s="399"/>
      <c r="DR131" s="399"/>
      <c r="DS131" s="399"/>
      <c r="DT131" s="399"/>
      <c r="DU131" s="399"/>
      <c r="DV131" s="399"/>
      <c r="DW131" s="399"/>
      <c r="DX131" s="399"/>
      <c r="DY131" s="399"/>
      <c r="DZ131" s="399"/>
      <c r="EA131" s="399"/>
      <c r="EB131" s="399"/>
      <c r="EC131" s="399"/>
      <c r="ED131" s="399"/>
      <c r="EE131" s="399"/>
      <c r="EF131" s="399"/>
      <c r="EG131" s="399"/>
      <c r="EH131" s="399"/>
      <c r="EI131" s="399"/>
      <c r="EJ131" s="399"/>
      <c r="EK131" s="399"/>
      <c r="EL131" s="399"/>
      <c r="EM131" s="399"/>
      <c r="EN131" s="399"/>
      <c r="EO131" s="399"/>
      <c r="EP131" s="399"/>
      <c r="EQ131" s="399"/>
      <c r="ER131" s="399"/>
      <c r="ES131" s="399"/>
      <c r="ET131" s="399"/>
      <c r="EU131" s="399"/>
      <c r="EV131" s="399">
        <v>216</v>
      </c>
      <c r="EW131" s="399"/>
      <c r="EX131" s="399"/>
      <c r="EY131" s="399"/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954</v>
      </c>
      <c r="C132" s="399" t="s">
        <v>2361</v>
      </c>
      <c r="D132" s="399" t="s">
        <v>1824</v>
      </c>
      <c r="E132" s="399" t="s">
        <v>916</v>
      </c>
      <c r="F132" s="399" t="s">
        <v>1237</v>
      </c>
      <c r="G132" s="399" t="s">
        <v>1237</v>
      </c>
      <c r="H132" s="399" t="s">
        <v>1237</v>
      </c>
      <c r="I132" s="399" t="s">
        <v>2362</v>
      </c>
      <c r="J132" s="399" t="s">
        <v>2353</v>
      </c>
      <c r="K132" s="789">
        <v>44531</v>
      </c>
      <c r="L132" s="399">
        <v>0</v>
      </c>
      <c r="M132" s="399">
        <v>0</v>
      </c>
      <c r="N132" s="399">
        <v>3.7999999999999999E-2</v>
      </c>
      <c r="O132" s="399">
        <v>3.7999999999999999E-2</v>
      </c>
      <c r="P132" s="399">
        <v>3.7999999999999999E-2</v>
      </c>
      <c r="Q132" s="399">
        <v>3.7999999999999999E-2</v>
      </c>
      <c r="R132" s="399"/>
      <c r="S132" s="399">
        <v>782.07</v>
      </c>
      <c r="T132" s="399">
        <v>215.17</v>
      </c>
      <c r="U132" s="399"/>
      <c r="V132" s="399">
        <v>37.895119999999999</v>
      </c>
      <c r="W132" s="399">
        <v>37.895119999999999</v>
      </c>
      <c r="X132" s="399">
        <v>30.396579999999997</v>
      </c>
      <c r="Y132" s="399">
        <v>0</v>
      </c>
      <c r="Z132" s="399">
        <v>2.3212907275791137</v>
      </c>
      <c r="AA132" s="399">
        <v>0</v>
      </c>
      <c r="AB132" s="399">
        <v>0</v>
      </c>
      <c r="AC132" s="399">
        <v>0</v>
      </c>
      <c r="AD132" s="399">
        <v>7.0259780797712779</v>
      </c>
      <c r="AE132" s="399">
        <v>19.886064298190274</v>
      </c>
      <c r="AF132" s="399">
        <v>8.0089536282171174</v>
      </c>
      <c r="AG132" s="399">
        <v>0.16746502852911879</v>
      </c>
      <c r="AH132" s="399">
        <v>0</v>
      </c>
      <c r="AI132" s="399">
        <v>0</v>
      </c>
      <c r="AJ132" s="399">
        <v>0</v>
      </c>
      <c r="AK132" s="399">
        <v>0</v>
      </c>
      <c r="AL132" s="399">
        <v>0.35869896158083214</v>
      </c>
      <c r="AM132" s="399"/>
      <c r="AN132" s="399">
        <v>4.4741104195935577E-2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8.1773512642486154E-2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8.0907271408596042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31.996400000000001</v>
      </c>
      <c r="CJ132" s="399">
        <v>-5.9287199999999984</v>
      </c>
      <c r="CK132" s="399"/>
      <c r="CL132" s="399"/>
      <c r="CM132" s="399"/>
      <c r="CN132" s="399"/>
      <c r="CO132" s="399">
        <v>-8.531380000000004</v>
      </c>
      <c r="CP132" s="399">
        <v>1.0328400000000002</v>
      </c>
      <c r="CQ132" s="399"/>
      <c r="CR132" s="399">
        <v>1.2270991499674828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0.29243653828910254</v>
      </c>
      <c r="DA132" s="399">
        <v>0</v>
      </c>
      <c r="DB132" s="399">
        <v>0</v>
      </c>
      <c r="DC132" s="399">
        <v>1.0328204330079664</v>
      </c>
      <c r="DD132" s="399">
        <v>0</v>
      </c>
      <c r="DE132" s="399">
        <v>0</v>
      </c>
      <c r="DF132" s="399">
        <v>0</v>
      </c>
      <c r="DG132" s="399">
        <v>1.0545366930136371E-2</v>
      </c>
      <c r="DH132" s="399">
        <v>0</v>
      </c>
      <c r="DI132" s="399">
        <v>-9.4381353614601426E-2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-1.1405026665288198E-2</v>
      </c>
      <c r="DP132" s="399">
        <v>-2.9168079798342419E-3</v>
      </c>
      <c r="DQ132" s="399">
        <v>0</v>
      </c>
      <c r="DR132" s="399">
        <v>0</v>
      </c>
      <c r="DS132" s="399"/>
      <c r="DT132" s="399"/>
      <c r="DU132" s="399"/>
      <c r="DV132" s="399">
        <v>19.886064298190274</v>
      </c>
      <c r="DW132" s="399">
        <v>0</v>
      </c>
      <c r="DX132" s="399">
        <v>0</v>
      </c>
      <c r="DY132" s="399">
        <v>-8.5313800000000022</v>
      </c>
      <c r="DZ132" s="399">
        <v>1.0328400000000002</v>
      </c>
      <c r="EA132" s="399">
        <v>0</v>
      </c>
      <c r="EB132" s="399">
        <v>0</v>
      </c>
      <c r="EC132" s="399">
        <v>-8.7254542972637861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216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954</v>
      </c>
      <c r="C133" s="399" t="s">
        <v>2352</v>
      </c>
      <c r="D133" s="399" t="s">
        <v>2363</v>
      </c>
      <c r="E133" s="399" t="s">
        <v>892</v>
      </c>
      <c r="F133" s="399" t="s">
        <v>1237</v>
      </c>
      <c r="G133" s="399" t="s">
        <v>1237</v>
      </c>
      <c r="H133" s="399" t="s">
        <v>1237</v>
      </c>
      <c r="I133" s="399" t="s">
        <v>1237</v>
      </c>
      <c r="J133" s="399" t="s">
        <v>2353</v>
      </c>
      <c r="K133" s="789">
        <v>44531</v>
      </c>
      <c r="L133" s="399">
        <v>0</v>
      </c>
      <c r="M133" s="399">
        <v>0</v>
      </c>
      <c r="N133" s="399">
        <v>530.64599999999996</v>
      </c>
      <c r="O133" s="399">
        <v>530.64599999999996</v>
      </c>
      <c r="P133" s="399">
        <v>530.64599999999996</v>
      </c>
      <c r="Q133" s="399">
        <v>530.64599999999996</v>
      </c>
      <c r="R133" s="399"/>
      <c r="S133" s="399">
        <v>415.98</v>
      </c>
      <c r="T133" s="399">
        <v>215.17</v>
      </c>
      <c r="U133" s="399"/>
      <c r="V133" s="399">
        <v>334917.22289999999</v>
      </c>
      <c r="W133" s="399">
        <v>334917.22289999999</v>
      </c>
      <c r="X133" s="399">
        <v>291080.55683999998</v>
      </c>
      <c r="Y133" s="399">
        <v>0</v>
      </c>
      <c r="Z133" s="399">
        <v>32415.358932288058</v>
      </c>
      <c r="AA133" s="399">
        <v>0</v>
      </c>
      <c r="AB133" s="399">
        <v>0</v>
      </c>
      <c r="AC133" s="399">
        <v>0</v>
      </c>
      <c r="AD133" s="399">
        <v>47394.953887706637</v>
      </c>
      <c r="AE133" s="399">
        <v>134152.87622999676</v>
      </c>
      <c r="AF133" s="399">
        <v>111839.97913155002</v>
      </c>
      <c r="AG133" s="399">
        <v>2338.5433560227043</v>
      </c>
      <c r="AH133" s="399">
        <v>0</v>
      </c>
      <c r="AI133" s="399">
        <v>0</v>
      </c>
      <c r="AJ133" s="399">
        <v>0</v>
      </c>
      <c r="AK133" s="399">
        <v>0</v>
      </c>
      <c r="AL133" s="399">
        <v>5009.0044517637434</v>
      </c>
      <c r="AM133" s="399"/>
      <c r="AN133" s="399">
        <v>624.78126255674817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1141.9154576232818</v>
      </c>
      <c r="BH133" s="399">
        <v>0</v>
      </c>
      <c r="BI133" s="399">
        <v>0</v>
      </c>
      <c r="BJ133" s="399">
        <v>0</v>
      </c>
      <c r="BK133" s="399">
        <v>78200.97</v>
      </c>
      <c r="BL133" s="399">
        <v>1664</v>
      </c>
      <c r="BM133" s="399"/>
      <c r="BN133" s="399"/>
      <c r="BO133" s="399"/>
      <c r="BP133" s="399"/>
      <c r="BQ133" s="399"/>
      <c r="BR133" s="399">
        <v>34927.119719999995</v>
      </c>
      <c r="BS133" s="399"/>
      <c r="BT133" s="399"/>
      <c r="BU133" s="399"/>
      <c r="BV133" s="399">
        <v>112981.8945891733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256155.36799999999</v>
      </c>
      <c r="CJ133" s="399">
        <v>-38570.756859999994</v>
      </c>
      <c r="CK133" s="399"/>
      <c r="CL133" s="399"/>
      <c r="CM133" s="399"/>
      <c r="CN133" s="399"/>
      <c r="CO133" s="399">
        <v>-58259.624340000009</v>
      </c>
      <c r="CP133" s="399">
        <v>14422.958280000003</v>
      </c>
      <c r="CQ133" s="399"/>
      <c r="CR133" s="399">
        <v>15024.654454948992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1972.6813960888903</v>
      </c>
      <c r="DA133" s="399">
        <v>0</v>
      </c>
      <c r="DB133" s="399">
        <v>0</v>
      </c>
      <c r="DC133" s="399">
        <v>14422.68503931434</v>
      </c>
      <c r="DD133" s="399">
        <v>0</v>
      </c>
      <c r="DE133" s="399">
        <v>0</v>
      </c>
      <c r="DF133" s="399">
        <v>0</v>
      </c>
      <c r="DG133" s="399">
        <v>147.25938894760907</v>
      </c>
      <c r="DH133" s="399">
        <v>0</v>
      </c>
      <c r="DI133" s="399">
        <v>-1317.9759939519427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-159.2639942060141</v>
      </c>
      <c r="DP133" s="399">
        <v>-40.731381243871624</v>
      </c>
      <c r="DQ133" s="399">
        <v>0</v>
      </c>
      <c r="DR133" s="399">
        <v>0</v>
      </c>
      <c r="DS133" s="399"/>
      <c r="DT133" s="399"/>
      <c r="DU133" s="399"/>
      <c r="DV133" s="399">
        <v>134152.87622999676</v>
      </c>
      <c r="DW133" s="399">
        <v>0</v>
      </c>
      <c r="DX133" s="399">
        <v>0</v>
      </c>
      <c r="DY133" s="399">
        <v>-58259.624340000009</v>
      </c>
      <c r="DZ133" s="399">
        <v>14422.958279999992</v>
      </c>
      <c r="EA133" s="399">
        <v>0</v>
      </c>
      <c r="EB133" s="399">
        <v>0</v>
      </c>
      <c r="EC133" s="399">
        <v>-58862.56691314459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216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2354</v>
      </c>
      <c r="C134" s="399" t="s">
        <v>2352</v>
      </c>
      <c r="D134" s="399" t="s">
        <v>2363</v>
      </c>
      <c r="E134" s="399" t="s">
        <v>892</v>
      </c>
      <c r="F134" s="399" t="s">
        <v>1237</v>
      </c>
      <c r="G134" s="399" t="s">
        <v>1237</v>
      </c>
      <c r="H134" s="399" t="s">
        <v>1237</v>
      </c>
      <c r="I134" s="399" t="s">
        <v>1237</v>
      </c>
      <c r="J134" s="399" t="s">
        <v>2353</v>
      </c>
      <c r="K134" s="789">
        <v>44531</v>
      </c>
      <c r="L134" s="399">
        <v>0</v>
      </c>
      <c r="M134" s="399">
        <v>0</v>
      </c>
      <c r="N134" s="399">
        <v>-0.61599999999999999</v>
      </c>
      <c r="O134" s="399">
        <v>-0.61599999999999999</v>
      </c>
      <c r="P134" s="399">
        <v>-0.61599999999999999</v>
      </c>
      <c r="Q134" s="399">
        <v>-0.61599999999999999</v>
      </c>
      <c r="R134" s="399"/>
      <c r="S134" s="399">
        <v>415.98</v>
      </c>
      <c r="T134" s="399">
        <v>215.17</v>
      </c>
      <c r="U134" s="399"/>
      <c r="V134" s="399">
        <v>-388.78839999999997</v>
      </c>
      <c r="W134" s="399">
        <v>-388.78839999999997</v>
      </c>
      <c r="X134" s="399">
        <v>-337.90063999999995</v>
      </c>
      <c r="Y134" s="399">
        <v>0</v>
      </c>
      <c r="Z134" s="399">
        <v>-37.629344426019316</v>
      </c>
      <c r="AA134" s="399">
        <v>0</v>
      </c>
      <c r="AB134" s="399">
        <v>0</v>
      </c>
      <c r="AC134" s="399">
        <v>0</v>
      </c>
      <c r="AD134" s="399">
        <v>-55.018395681541541</v>
      </c>
      <c r="AE134" s="399">
        <v>-155.73126294681956</v>
      </c>
      <c r="AF134" s="399">
        <v>-129.82935355215119</v>
      </c>
      <c r="AG134" s="399">
        <v>-2.714696251945715</v>
      </c>
      <c r="AH134" s="399">
        <v>0</v>
      </c>
      <c r="AI134" s="399">
        <v>0</v>
      </c>
      <c r="AJ134" s="399">
        <v>0</v>
      </c>
      <c r="AK134" s="399">
        <v>0</v>
      </c>
      <c r="AL134" s="399">
        <v>-5.8146989561524371</v>
      </c>
      <c r="AM134" s="399"/>
      <c r="AN134" s="399">
        <v>-0.72527684696569261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-1.325591678625565</v>
      </c>
      <c r="BH134" s="399">
        <v>0</v>
      </c>
      <c r="BI134" s="399">
        <v>0</v>
      </c>
      <c r="BJ134" s="399">
        <v>0</v>
      </c>
      <c r="BK134" s="399">
        <v>-64.58</v>
      </c>
      <c r="BL134" s="399">
        <v>0</v>
      </c>
      <c r="BM134" s="399"/>
      <c r="BN134" s="399"/>
      <c r="BO134" s="399"/>
      <c r="BP134" s="399"/>
      <c r="BQ134" s="399"/>
      <c r="BR134" s="399">
        <v>-40.545119999999997</v>
      </c>
      <c r="BS134" s="399"/>
      <c r="BT134" s="399"/>
      <c r="BU134" s="399"/>
      <c r="BV134" s="399">
        <v>-131.15494523077675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-299.28640000000001</v>
      </c>
      <c r="CJ134" s="399">
        <v>42.816160000000025</v>
      </c>
      <c r="CK134" s="399"/>
      <c r="CL134" s="399"/>
      <c r="CM134" s="399"/>
      <c r="CN134" s="399"/>
      <c r="CO134" s="399">
        <v>67.630640000000014</v>
      </c>
      <c r="CP134" s="399">
        <v>-16.742880000000003</v>
      </c>
      <c r="CQ134" s="399"/>
      <c r="CR134" s="399">
        <v>-17.441358540813638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-2.2899856778167589</v>
      </c>
      <c r="DA134" s="399">
        <v>0</v>
      </c>
      <c r="DB134" s="399">
        <v>0</v>
      </c>
      <c r="DC134" s="399">
        <v>-16.742562808760709</v>
      </c>
      <c r="DD134" s="399">
        <v>0</v>
      </c>
      <c r="DE134" s="399">
        <v>0</v>
      </c>
      <c r="DF134" s="399">
        <v>0</v>
      </c>
      <c r="DG134" s="399">
        <v>-0.17094594813063169</v>
      </c>
      <c r="DH134" s="399">
        <v>0</v>
      </c>
      <c r="DI134" s="399">
        <v>1.5299714164893317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0.18488148488993517</v>
      </c>
      <c r="DP134" s="399">
        <v>4.7282992515207845E-2</v>
      </c>
      <c r="DQ134" s="399">
        <v>0</v>
      </c>
      <c r="DR134" s="399">
        <v>0</v>
      </c>
      <c r="DS134" s="399"/>
      <c r="DT134" s="399"/>
      <c r="DU134" s="399"/>
      <c r="DV134" s="399">
        <v>-155.73126294681956</v>
      </c>
      <c r="DW134" s="399">
        <v>0</v>
      </c>
      <c r="DX134" s="399">
        <v>0</v>
      </c>
      <c r="DY134" s="399">
        <v>67.63064</v>
      </c>
      <c r="DZ134" s="399">
        <v>-16.742880000000014</v>
      </c>
      <c r="EA134" s="399">
        <v>0</v>
      </c>
      <c r="EB134" s="399">
        <v>0</v>
      </c>
      <c r="EC134" s="399">
        <v>68.330565421198074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216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2355</v>
      </c>
      <c r="C135" s="399" t="s">
        <v>2352</v>
      </c>
      <c r="D135" s="399" t="s">
        <v>2363</v>
      </c>
      <c r="E135" s="399" t="s">
        <v>892</v>
      </c>
      <c r="F135" s="399" t="s">
        <v>1237</v>
      </c>
      <c r="G135" s="399" t="s">
        <v>1237</v>
      </c>
      <c r="H135" s="399" t="s">
        <v>1237</v>
      </c>
      <c r="I135" s="399" t="s">
        <v>1237</v>
      </c>
      <c r="J135" s="399" t="s">
        <v>2353</v>
      </c>
      <c r="K135" s="789">
        <v>44531</v>
      </c>
      <c r="L135" s="399">
        <v>0</v>
      </c>
      <c r="M135" s="399">
        <v>0</v>
      </c>
      <c r="N135" s="399">
        <v>11.766</v>
      </c>
      <c r="O135" s="399">
        <v>11.766</v>
      </c>
      <c r="P135" s="399">
        <v>11.766</v>
      </c>
      <c r="Q135" s="399">
        <v>11.766</v>
      </c>
      <c r="R135" s="399"/>
      <c r="S135" s="399">
        <v>415.98</v>
      </c>
      <c r="T135" s="399">
        <v>215.17</v>
      </c>
      <c r="U135" s="399"/>
      <c r="V135" s="399">
        <v>7426.1108999999997</v>
      </c>
      <c r="W135" s="399">
        <v>7426.1108999999997</v>
      </c>
      <c r="X135" s="399">
        <v>6454.1216399999994</v>
      </c>
      <c r="Y135" s="399">
        <v>0</v>
      </c>
      <c r="Z135" s="399">
        <v>718.74491317620664</v>
      </c>
      <c r="AA135" s="399">
        <v>0</v>
      </c>
      <c r="AB135" s="399">
        <v>0</v>
      </c>
      <c r="AC135" s="399">
        <v>0</v>
      </c>
      <c r="AD135" s="399">
        <v>1050.8870837484055</v>
      </c>
      <c r="AE135" s="399">
        <v>2974.568246480972</v>
      </c>
      <c r="AF135" s="399">
        <v>2479.8249576211215</v>
      </c>
      <c r="AG135" s="399">
        <v>51.852461201937146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111.0645258410545</v>
      </c>
      <c r="AM135" s="399"/>
      <c r="AN135" s="399">
        <v>13.853258736036265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25.319661835565583</v>
      </c>
      <c r="BH135" s="399">
        <v>0</v>
      </c>
      <c r="BI135" s="399">
        <v>0</v>
      </c>
      <c r="BJ135" s="399">
        <v>0</v>
      </c>
      <c r="BK135" s="399">
        <v>3315.56</v>
      </c>
      <c r="BL135" s="399">
        <v>21</v>
      </c>
      <c r="BM135" s="399"/>
      <c r="BN135" s="399"/>
      <c r="BO135" s="399"/>
      <c r="BP135" s="399"/>
      <c r="BQ135" s="399"/>
      <c r="BR135" s="399">
        <v>774.43812000000003</v>
      </c>
      <c r="BS135" s="399"/>
      <c r="BT135" s="399"/>
      <c r="BU135" s="399"/>
      <c r="BV135" s="399">
        <v>2505.144619456687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5681.6143999999995</v>
      </c>
      <c r="CJ135" s="399">
        <v>-853.3696600000012</v>
      </c>
      <c r="CK135" s="399"/>
      <c r="CL135" s="399"/>
      <c r="CM135" s="399"/>
      <c r="CN135" s="399"/>
      <c r="CO135" s="399">
        <v>-1291.7891400000003</v>
      </c>
      <c r="CP135" s="399">
        <v>319.79988000000009</v>
      </c>
      <c r="CQ135" s="399"/>
      <c r="CR135" s="399">
        <v>333.1412736870343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43.740213449986868</v>
      </c>
      <c r="DA135" s="399">
        <v>0</v>
      </c>
      <c r="DB135" s="399">
        <v>0</v>
      </c>
      <c r="DC135" s="399">
        <v>319.79382144136116</v>
      </c>
      <c r="DD135" s="399">
        <v>0</v>
      </c>
      <c r="DE135" s="399">
        <v>0</v>
      </c>
      <c r="DF135" s="399">
        <v>0</v>
      </c>
      <c r="DG135" s="399">
        <v>3.265178613157488</v>
      </c>
      <c r="DH135" s="399">
        <v>0</v>
      </c>
      <c r="DI135" s="399">
        <v>-29.223447542879057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-3.5313564143100251</v>
      </c>
      <c r="DP135" s="399">
        <v>-0.90313586028236159</v>
      </c>
      <c r="DQ135" s="399">
        <v>0</v>
      </c>
      <c r="DR135" s="399">
        <v>0</v>
      </c>
      <c r="DS135" s="399"/>
      <c r="DT135" s="399"/>
      <c r="DU135" s="399"/>
      <c r="DV135" s="399">
        <v>2974.568246480972</v>
      </c>
      <c r="DW135" s="399">
        <v>0</v>
      </c>
      <c r="DX135" s="399">
        <v>0</v>
      </c>
      <c r="DY135" s="399">
        <v>-1291.7891400000003</v>
      </c>
      <c r="DZ135" s="399">
        <v>319.79988000000003</v>
      </c>
      <c r="EA135" s="399">
        <v>0</v>
      </c>
      <c r="EB135" s="399">
        <v>0</v>
      </c>
      <c r="EC135" s="399">
        <v>-1305.1581700419097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216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954</v>
      </c>
      <c r="C136" s="399" t="s">
        <v>2352</v>
      </c>
      <c r="D136" s="399" t="s">
        <v>1824</v>
      </c>
      <c r="E136" s="399" t="s">
        <v>2364</v>
      </c>
      <c r="F136" s="399" t="s">
        <v>1237</v>
      </c>
      <c r="G136" s="399" t="s">
        <v>1237</v>
      </c>
      <c r="H136" s="399" t="s">
        <v>1237</v>
      </c>
      <c r="I136" s="399" t="s">
        <v>1237</v>
      </c>
      <c r="J136" s="399" t="s">
        <v>2353</v>
      </c>
      <c r="K136" s="789">
        <v>44531</v>
      </c>
      <c r="L136" s="399">
        <v>0</v>
      </c>
      <c r="M136" s="399">
        <v>0</v>
      </c>
      <c r="N136" s="399">
        <v>33.453000000000003</v>
      </c>
      <c r="O136" s="399">
        <v>33.453000000000003</v>
      </c>
      <c r="P136" s="399">
        <v>33.453000000000003</v>
      </c>
      <c r="Q136" s="399">
        <v>33.453000000000003</v>
      </c>
      <c r="R136" s="399"/>
      <c r="S136" s="399">
        <v>415.98</v>
      </c>
      <c r="T136" s="399">
        <v>215.17</v>
      </c>
      <c r="U136" s="399"/>
      <c r="V136" s="399">
        <v>21113.860950000002</v>
      </c>
      <c r="W136" s="399">
        <v>21113.860950000002</v>
      </c>
      <c r="X136" s="399">
        <v>18350.30862</v>
      </c>
      <c r="Y136" s="399">
        <v>0</v>
      </c>
      <c r="Z136" s="399">
        <v>2043.5299660448447</v>
      </c>
      <c r="AA136" s="399">
        <v>0</v>
      </c>
      <c r="AB136" s="399">
        <v>0</v>
      </c>
      <c r="AC136" s="399">
        <v>0</v>
      </c>
      <c r="AD136" s="399">
        <v>2987.8740109328073</v>
      </c>
      <c r="AE136" s="399">
        <v>8457.2693820778495</v>
      </c>
      <c r="AF136" s="399">
        <v>7050.6190980196652</v>
      </c>
      <c r="AG136" s="399">
        <v>147.42651577327925</v>
      </c>
      <c r="AH136" s="399">
        <v>0</v>
      </c>
      <c r="AI136" s="399">
        <v>0</v>
      </c>
      <c r="AJ136" s="399">
        <v>0</v>
      </c>
      <c r="AK136" s="399">
        <v>0</v>
      </c>
      <c r="AL136" s="399">
        <v>315.77779899377839</v>
      </c>
      <c r="AM136" s="399"/>
      <c r="AN136" s="399">
        <v>39.387477859648243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71.988666274449727</v>
      </c>
      <c r="BH136" s="399">
        <v>0</v>
      </c>
      <c r="BI136" s="399">
        <v>0</v>
      </c>
      <c r="BJ136" s="399">
        <v>0</v>
      </c>
      <c r="BK136" s="399">
        <v>6517.97</v>
      </c>
      <c r="BL136" s="399">
        <v>48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7122.6077642941145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18348.663</v>
      </c>
      <c r="CJ136" s="399">
        <v>-2765.2279500000004</v>
      </c>
      <c r="CK136" s="399"/>
      <c r="CL136" s="399"/>
      <c r="CM136" s="399"/>
      <c r="CN136" s="399"/>
      <c r="CO136" s="399">
        <v>-3672.8048700000008</v>
      </c>
      <c r="CP136" s="399">
        <v>909.25254000000029</v>
      </c>
      <c r="CQ136" s="399"/>
      <c r="CR136" s="399">
        <v>947.18468711986679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124.36183584416267</v>
      </c>
      <c r="DA136" s="399">
        <v>0</v>
      </c>
      <c r="DB136" s="399">
        <v>0</v>
      </c>
      <c r="DC136" s="399">
        <v>909.23531435303903</v>
      </c>
      <c r="DD136" s="399">
        <v>0</v>
      </c>
      <c r="DE136" s="399">
        <v>0</v>
      </c>
      <c r="DF136" s="399">
        <v>0</v>
      </c>
      <c r="DG136" s="399">
        <v>9.2835305240487429</v>
      </c>
      <c r="DH136" s="399">
        <v>0</v>
      </c>
      <c r="DI136" s="399">
        <v>-83.087879538664993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-10.04032518510229</v>
      </c>
      <c r="DP136" s="399">
        <v>-2.5677888776156621</v>
      </c>
      <c r="DQ136" s="399">
        <v>0</v>
      </c>
      <c r="DR136" s="399">
        <v>0</v>
      </c>
      <c r="DS136" s="399"/>
      <c r="DT136" s="399"/>
      <c r="DU136" s="399"/>
      <c r="DV136" s="399">
        <v>8457.2693820778495</v>
      </c>
      <c r="DW136" s="399">
        <v>0</v>
      </c>
      <c r="DX136" s="399">
        <v>0</v>
      </c>
      <c r="DY136" s="399">
        <v>-3672.8048700000018</v>
      </c>
      <c r="DZ136" s="399">
        <v>909.25254000000041</v>
      </c>
      <c r="EA136" s="399">
        <v>0</v>
      </c>
      <c r="EB136" s="399">
        <v>0</v>
      </c>
      <c r="EC136" s="399">
        <v>-3710.8155925898373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216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954</v>
      </c>
      <c r="C137" s="399" t="s">
        <v>2352</v>
      </c>
      <c r="D137" s="399" t="s">
        <v>2365</v>
      </c>
      <c r="E137" s="399" t="s">
        <v>2366</v>
      </c>
      <c r="F137" s="399" t="s">
        <v>2367</v>
      </c>
      <c r="G137" s="399" t="s">
        <v>1237</v>
      </c>
      <c r="H137" s="399" t="s">
        <v>1237</v>
      </c>
      <c r="I137" s="399" t="s">
        <v>1237</v>
      </c>
      <c r="J137" s="399" t="s">
        <v>2353</v>
      </c>
      <c r="K137" s="789">
        <v>44531</v>
      </c>
      <c r="L137" s="399">
        <v>0</v>
      </c>
      <c r="M137" s="399">
        <v>0</v>
      </c>
      <c r="N137" s="399">
        <v>94.962000000000003</v>
      </c>
      <c r="O137" s="399">
        <v>94.962000000000003</v>
      </c>
      <c r="P137" s="399">
        <v>94.962000000000003</v>
      </c>
      <c r="Q137" s="399">
        <v>94.962000000000003</v>
      </c>
      <c r="R137" s="399"/>
      <c r="S137" s="399">
        <v>228.79</v>
      </c>
      <c r="T137" s="399">
        <v>118.34</v>
      </c>
      <c r="U137" s="399"/>
      <c r="V137" s="399">
        <v>32964.159060000005</v>
      </c>
      <c r="W137" s="399">
        <v>32964.159060000005</v>
      </c>
      <c r="X137" s="399">
        <v>28649.085780000001</v>
      </c>
      <c r="Y137" s="399">
        <v>0</v>
      </c>
      <c r="Z137" s="399">
        <v>3190.4980405211072</v>
      </c>
      <c r="AA137" s="399">
        <v>0</v>
      </c>
      <c r="AB137" s="399">
        <v>0</v>
      </c>
      <c r="AC137" s="399">
        <v>0</v>
      </c>
      <c r="AD137" s="399">
        <v>4664.8722238487089</v>
      </c>
      <c r="AE137" s="399">
        <v>13204.064457103486</v>
      </c>
      <c r="AF137" s="399">
        <v>11007.906314302967</v>
      </c>
      <c r="AG137" s="399">
        <v>230.17230846184776</v>
      </c>
      <c r="AH137" s="399">
        <v>0</v>
      </c>
      <c r="AI137" s="399">
        <v>0</v>
      </c>
      <c r="AJ137" s="399">
        <v>0</v>
      </c>
      <c r="AK137" s="399">
        <v>0</v>
      </c>
      <c r="AL137" s="399">
        <v>493.01378774477519</v>
      </c>
      <c r="AM137" s="399"/>
      <c r="AN137" s="399">
        <v>61.494410662103903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112.39360445146453</v>
      </c>
      <c r="BH137" s="399">
        <v>0</v>
      </c>
      <c r="BI137" s="399">
        <v>0</v>
      </c>
      <c r="BJ137" s="399">
        <v>0</v>
      </c>
      <c r="BK137" s="399">
        <v>14043.74</v>
      </c>
      <c r="BL137" s="399">
        <v>88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11120.299918754432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28648.482399999997</v>
      </c>
      <c r="CJ137" s="399">
        <v>-4315.7066599999998</v>
      </c>
      <c r="CK137" s="399"/>
      <c r="CL137" s="399"/>
      <c r="CM137" s="399"/>
      <c r="CN137" s="399"/>
      <c r="CO137" s="399">
        <v>-5734.7551799999992</v>
      </c>
      <c r="CP137" s="399">
        <v>1419.6818999999989</v>
      </c>
      <c r="CQ137" s="399"/>
      <c r="CR137" s="399">
        <v>1478.8091872792975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194.16216065788285</v>
      </c>
      <c r="DA137" s="399">
        <v>0</v>
      </c>
      <c r="DB137" s="399">
        <v>0</v>
      </c>
      <c r="DC137" s="399">
        <v>1419.5600441478582</v>
      </c>
      <c r="DD137" s="399">
        <v>0</v>
      </c>
      <c r="DE137" s="399">
        <v>0</v>
      </c>
      <c r="DF137" s="399">
        <v>0</v>
      </c>
      <c r="DG137" s="399">
        <v>14.494079577126797</v>
      </c>
      <c r="DH137" s="399">
        <v>0</v>
      </c>
      <c r="DI137" s="399">
        <v>-129.72245147558351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-15.675638900106037</v>
      </c>
      <c r="DP137" s="399">
        <v>-4.0090067278833672</v>
      </c>
      <c r="DQ137" s="399">
        <v>0</v>
      </c>
      <c r="DR137" s="399">
        <v>0</v>
      </c>
      <c r="DS137" s="399"/>
      <c r="DT137" s="399"/>
      <c r="DU137" s="399"/>
      <c r="DV137" s="399">
        <v>13204.064457103486</v>
      </c>
      <c r="DW137" s="399">
        <v>0</v>
      </c>
      <c r="DX137" s="399">
        <v>0</v>
      </c>
      <c r="DY137" s="399">
        <v>-5734.7551799999983</v>
      </c>
      <c r="DZ137" s="399">
        <v>1419.6818999999978</v>
      </c>
      <c r="EA137" s="399">
        <v>0</v>
      </c>
      <c r="EB137" s="399">
        <v>0</v>
      </c>
      <c r="EC137" s="399">
        <v>-5793.5778156498509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216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954</v>
      </c>
      <c r="C138" s="399" t="s">
        <v>2352</v>
      </c>
      <c r="D138" s="399" t="s">
        <v>1824</v>
      </c>
      <c r="E138" s="399" t="s">
        <v>919</v>
      </c>
      <c r="F138" s="399" t="s">
        <v>2368</v>
      </c>
      <c r="G138" s="399" t="s">
        <v>1237</v>
      </c>
      <c r="H138" s="399" t="s">
        <v>1237</v>
      </c>
      <c r="I138" s="399" t="s">
        <v>1237</v>
      </c>
      <c r="J138" s="399" t="s">
        <v>2353</v>
      </c>
      <c r="K138" s="789">
        <v>44531</v>
      </c>
      <c r="L138" s="399">
        <v>0</v>
      </c>
      <c r="M138" s="399">
        <v>0</v>
      </c>
      <c r="N138" s="399">
        <v>22.574000000000002</v>
      </c>
      <c r="O138" s="399">
        <v>21.219560000000001</v>
      </c>
      <c r="P138" s="399">
        <v>22.574000000000002</v>
      </c>
      <c r="Q138" s="399">
        <v>21.219560000000001</v>
      </c>
      <c r="R138" s="399"/>
      <c r="S138" s="399">
        <v>415.98</v>
      </c>
      <c r="T138" s="399">
        <v>215.17</v>
      </c>
      <c r="U138" s="399"/>
      <c r="V138" s="399">
        <v>14247.580100000003</v>
      </c>
      <c r="W138" s="399">
        <v>14247.580100000003</v>
      </c>
      <c r="X138" s="399">
        <v>12382.741959999999</v>
      </c>
      <c r="Y138" s="399">
        <v>0</v>
      </c>
      <c r="Z138" s="399">
        <v>1378.968865378182</v>
      </c>
      <c r="AA138" s="399">
        <v>0</v>
      </c>
      <c r="AB138" s="399">
        <v>0</v>
      </c>
      <c r="AC138" s="399">
        <v>0</v>
      </c>
      <c r="AD138" s="399">
        <v>2016.2098443427253</v>
      </c>
      <c r="AE138" s="399">
        <v>5706.944041820625</v>
      </c>
      <c r="AF138" s="399">
        <v>4757.7399790361378</v>
      </c>
      <c r="AG138" s="399">
        <v>99.483040895166525</v>
      </c>
      <c r="AH138" s="399">
        <v>0</v>
      </c>
      <c r="AI138" s="399">
        <v>0</v>
      </c>
      <c r="AJ138" s="399">
        <v>0</v>
      </c>
      <c r="AK138" s="399">
        <v>0</v>
      </c>
      <c r="AL138" s="399">
        <v>213.08606207172912</v>
      </c>
      <c r="AM138" s="399"/>
      <c r="AN138" s="399">
        <v>26.578570687343419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48.57777037872323</v>
      </c>
      <c r="BH138" s="399">
        <v>0</v>
      </c>
      <c r="BI138" s="399">
        <v>0</v>
      </c>
      <c r="BJ138" s="399">
        <v>0</v>
      </c>
      <c r="BK138" s="399">
        <v>5196.04</v>
      </c>
      <c r="BL138" s="399">
        <v>4</v>
      </c>
      <c r="BM138" s="399"/>
      <c r="BN138" s="399"/>
      <c r="BO138" s="399"/>
      <c r="BP138" s="399"/>
      <c r="BQ138" s="399">
        <v>742.96451760000014</v>
      </c>
      <c r="BR138" s="399"/>
      <c r="BS138" s="399"/>
      <c r="BT138" s="399"/>
      <c r="BU138" s="399"/>
      <c r="BV138" s="399">
        <v>4806.3177494148613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11640.018799999998</v>
      </c>
      <c r="CJ138" s="399">
        <v>-1752.7364940000025</v>
      </c>
      <c r="CK138" s="399"/>
      <c r="CL138" s="399"/>
      <c r="CM138" s="399"/>
      <c r="CN138" s="399"/>
      <c r="CO138" s="399">
        <v>-2478.3994600000005</v>
      </c>
      <c r="CP138" s="399">
        <v>613.56132000000025</v>
      </c>
      <c r="CQ138" s="399"/>
      <c r="CR138" s="399">
        <v>639.15783717585691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83.919053069862912</v>
      </c>
      <c r="DA138" s="399">
        <v>0</v>
      </c>
      <c r="DB138" s="399">
        <v>0</v>
      </c>
      <c r="DC138" s="399">
        <v>613.54969617689039</v>
      </c>
      <c r="DD138" s="399">
        <v>0</v>
      </c>
      <c r="DE138" s="399">
        <v>0</v>
      </c>
      <c r="DF138" s="399">
        <v>0</v>
      </c>
      <c r="DG138" s="399">
        <v>6.2645029758131159</v>
      </c>
      <c r="DH138" s="399">
        <v>0</v>
      </c>
      <c r="DI138" s="399">
        <v>-56.067491486737254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-6.7751861037425556</v>
      </c>
      <c r="DP138" s="399">
        <v>-1.7327374562310069</v>
      </c>
      <c r="DQ138" s="399">
        <v>0</v>
      </c>
      <c r="DR138" s="399">
        <v>0</v>
      </c>
      <c r="DS138" s="399"/>
      <c r="DT138" s="399"/>
      <c r="DU138" s="399"/>
      <c r="DV138" s="399">
        <v>5706.944041820625</v>
      </c>
      <c r="DW138" s="399">
        <v>0</v>
      </c>
      <c r="DX138" s="399">
        <v>0</v>
      </c>
      <c r="DY138" s="399">
        <v>-2478.3994600000015</v>
      </c>
      <c r="DZ138" s="399">
        <v>613.5613199999998</v>
      </c>
      <c r="EA138" s="399">
        <v>0</v>
      </c>
      <c r="EB138" s="399">
        <v>0</v>
      </c>
      <c r="EC138" s="399">
        <v>-2504.0489997047489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216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954</v>
      </c>
      <c r="C139" s="399" t="s">
        <v>2352</v>
      </c>
      <c r="D139" s="399" t="s">
        <v>1824</v>
      </c>
      <c r="E139" s="399" t="s">
        <v>2369</v>
      </c>
      <c r="F139" s="399" t="s">
        <v>1237</v>
      </c>
      <c r="G139" s="399" t="s">
        <v>1237</v>
      </c>
      <c r="H139" s="399" t="s">
        <v>1237</v>
      </c>
      <c r="I139" s="399" t="s">
        <v>1237</v>
      </c>
      <c r="J139" s="399" t="s">
        <v>2353</v>
      </c>
      <c r="K139" s="789">
        <v>44531</v>
      </c>
      <c r="L139" s="399">
        <v>0</v>
      </c>
      <c r="M139" s="399">
        <v>0</v>
      </c>
      <c r="N139" s="399">
        <v>3.4969999999999999</v>
      </c>
      <c r="O139" s="399">
        <v>3.4969999999999999</v>
      </c>
      <c r="P139" s="399">
        <v>3.4969999999999999</v>
      </c>
      <c r="Q139" s="399">
        <v>3.4969999999999999</v>
      </c>
      <c r="R139" s="399"/>
      <c r="S139" s="399">
        <v>415.98</v>
      </c>
      <c r="T139" s="399">
        <v>215.17</v>
      </c>
      <c r="U139" s="399"/>
      <c r="V139" s="399">
        <v>2207.1315500000001</v>
      </c>
      <c r="W139" s="399">
        <v>2207.1315500000001</v>
      </c>
      <c r="X139" s="399">
        <v>1918.2443799999999</v>
      </c>
      <c r="Y139" s="399">
        <v>0</v>
      </c>
      <c r="Z139" s="399">
        <v>213.61983353537263</v>
      </c>
      <c r="AA139" s="399">
        <v>0</v>
      </c>
      <c r="AB139" s="399">
        <v>0</v>
      </c>
      <c r="AC139" s="399">
        <v>0</v>
      </c>
      <c r="AD139" s="399">
        <v>312.33657418563433</v>
      </c>
      <c r="AE139" s="399">
        <v>884.07828981335706</v>
      </c>
      <c r="AF139" s="399">
        <v>737.03449573355954</v>
      </c>
      <c r="AG139" s="399">
        <v>15.411189599113904</v>
      </c>
      <c r="AH139" s="399">
        <v>0</v>
      </c>
      <c r="AI139" s="399">
        <v>0</v>
      </c>
      <c r="AJ139" s="399">
        <v>0</v>
      </c>
      <c r="AK139" s="399">
        <v>0</v>
      </c>
      <c r="AL139" s="399">
        <v>33.009743911793947</v>
      </c>
      <c r="AM139" s="399"/>
      <c r="AN139" s="399">
        <v>4.1173589835049134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7.5253150976519496</v>
      </c>
      <c r="BH139" s="399">
        <v>0</v>
      </c>
      <c r="BI139" s="399">
        <v>0</v>
      </c>
      <c r="BJ139" s="399">
        <v>0</v>
      </c>
      <c r="BK139" s="399">
        <v>804.93</v>
      </c>
      <c r="BL139" s="399">
        <v>1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744.55981083121151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1919.8899999999999</v>
      </c>
      <c r="CJ139" s="399">
        <v>-287.27155000000039</v>
      </c>
      <c r="CK139" s="399"/>
      <c r="CL139" s="399"/>
      <c r="CM139" s="399"/>
      <c r="CN139" s="399"/>
      <c r="CO139" s="399">
        <v>-383.93563000000006</v>
      </c>
      <c r="CP139" s="399">
        <v>95.04846000000002</v>
      </c>
      <c r="CQ139" s="399"/>
      <c r="CR139" s="399">
        <v>99.013686391599549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13.000129732670814</v>
      </c>
      <c r="DA139" s="399">
        <v>0</v>
      </c>
      <c r="DB139" s="399">
        <v>0</v>
      </c>
      <c r="DC139" s="399">
        <v>95.046659321811944</v>
      </c>
      <c r="DD139" s="399">
        <v>0</v>
      </c>
      <c r="DE139" s="399">
        <v>0</v>
      </c>
      <c r="DF139" s="399">
        <v>0</v>
      </c>
      <c r="DG139" s="399">
        <v>0.97045126722860253</v>
      </c>
      <c r="DH139" s="399">
        <v>0</v>
      </c>
      <c r="DI139" s="399">
        <v>-8.6855682523753046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-1.0495625854871804</v>
      </c>
      <c r="DP139" s="399">
        <v>-0.26842309224948258</v>
      </c>
      <c r="DQ139" s="399">
        <v>0</v>
      </c>
      <c r="DR139" s="399">
        <v>0</v>
      </c>
      <c r="DS139" s="399"/>
      <c r="DT139" s="399"/>
      <c r="DU139" s="399"/>
      <c r="DV139" s="399">
        <v>884.07828981335706</v>
      </c>
      <c r="DW139" s="399">
        <v>0</v>
      </c>
      <c r="DX139" s="399">
        <v>0</v>
      </c>
      <c r="DY139" s="399">
        <v>-383.93563000000017</v>
      </c>
      <c r="DZ139" s="399">
        <v>95.048459999999977</v>
      </c>
      <c r="EA139" s="399">
        <v>0</v>
      </c>
      <c r="EB139" s="399">
        <v>0</v>
      </c>
      <c r="EC139" s="399">
        <v>-387.90907025637927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216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954</v>
      </c>
      <c r="C140" s="399" t="s">
        <v>2352</v>
      </c>
      <c r="D140" s="399" t="s">
        <v>2363</v>
      </c>
      <c r="E140" s="399" t="s">
        <v>892</v>
      </c>
      <c r="F140" s="399" t="s">
        <v>2370</v>
      </c>
      <c r="G140" s="399" t="s">
        <v>2371</v>
      </c>
      <c r="H140" s="399" t="s">
        <v>1237</v>
      </c>
      <c r="I140" s="399" t="s">
        <v>1237</v>
      </c>
      <c r="J140" s="399" t="s">
        <v>2353</v>
      </c>
      <c r="K140" s="789">
        <v>44531</v>
      </c>
      <c r="L140" s="399">
        <v>0</v>
      </c>
      <c r="M140" s="399">
        <v>0</v>
      </c>
      <c r="N140" s="399">
        <v>0</v>
      </c>
      <c r="O140" s="399">
        <v>0</v>
      </c>
      <c r="P140" s="399">
        <v>0</v>
      </c>
      <c r="Q140" s="399">
        <v>0</v>
      </c>
      <c r="R140" s="399"/>
      <c r="S140" s="399"/>
      <c r="T140" s="399"/>
      <c r="U140" s="399"/>
      <c r="V140" s="399"/>
      <c r="W140" s="399"/>
      <c r="X140" s="399"/>
      <c r="Y140" s="399"/>
      <c r="Z140" s="399"/>
      <c r="AA140" s="399">
        <v>0</v>
      </c>
      <c r="AB140" s="399"/>
      <c r="AC140" s="399"/>
      <c r="AD140" s="399"/>
      <c r="AE140" s="399"/>
      <c r="AF140" s="399"/>
      <c r="AG140" s="399"/>
      <c r="AH140" s="399"/>
      <c r="AI140" s="399"/>
      <c r="AJ140" s="399"/>
      <c r="AK140" s="399"/>
      <c r="AL140" s="399"/>
      <c r="AM140" s="399"/>
      <c r="AN140" s="399"/>
      <c r="AO140" s="399"/>
      <c r="AP140" s="399"/>
      <c r="AQ140" s="399"/>
      <c r="AR140" s="399"/>
      <c r="AS140" s="399"/>
      <c r="AT140" s="399"/>
      <c r="AU140" s="399"/>
      <c r="AV140" s="399"/>
      <c r="AW140" s="399"/>
      <c r="AX140" s="399"/>
      <c r="AY140" s="399"/>
      <c r="AZ140" s="399">
        <v>0</v>
      </c>
      <c r="BA140" s="399"/>
      <c r="BB140" s="399"/>
      <c r="BC140" s="399"/>
      <c r="BD140" s="399"/>
      <c r="BE140" s="399"/>
      <c r="BF140" s="399"/>
      <c r="BG140" s="399"/>
      <c r="BH140" s="399"/>
      <c r="BI140" s="399">
        <v>0</v>
      </c>
      <c r="BJ140" s="399">
        <v>0</v>
      </c>
      <c r="BK140" s="399">
        <v>2221.33</v>
      </c>
      <c r="BL140" s="399">
        <v>39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/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/>
      <c r="CJ140" s="399">
        <v>-0.03</v>
      </c>
      <c r="CK140" s="399"/>
      <c r="CL140" s="399"/>
      <c r="CM140" s="399"/>
      <c r="CN140" s="399"/>
      <c r="CO140" s="399">
        <v>0</v>
      </c>
      <c r="CP140" s="399">
        <v>0</v>
      </c>
      <c r="CQ140" s="399"/>
      <c r="CR140" s="399"/>
      <c r="CS140" s="399"/>
      <c r="CT140" s="399"/>
      <c r="CU140" s="399"/>
      <c r="CV140" s="399"/>
      <c r="CW140" s="399"/>
      <c r="CX140" s="399"/>
      <c r="CY140" s="399"/>
      <c r="CZ140" s="399"/>
      <c r="DA140" s="399"/>
      <c r="DB140" s="399"/>
      <c r="DC140" s="399"/>
      <c r="DD140" s="399"/>
      <c r="DE140" s="399"/>
      <c r="DF140" s="399"/>
      <c r="DG140" s="399"/>
      <c r="DH140" s="399"/>
      <c r="DI140" s="399"/>
      <c r="DJ140" s="399"/>
      <c r="DK140" s="399">
        <v>0</v>
      </c>
      <c r="DL140" s="399"/>
      <c r="DM140" s="399"/>
      <c r="DN140" s="399"/>
      <c r="DO140" s="399"/>
      <c r="DP140" s="399"/>
      <c r="DQ140" s="399"/>
      <c r="DR140" s="399"/>
      <c r="DS140" s="399"/>
      <c r="DT140" s="399"/>
      <c r="DU140" s="399"/>
      <c r="DV140" s="399"/>
      <c r="DW140" s="399"/>
      <c r="DX140" s="399"/>
      <c r="DY140" s="399"/>
      <c r="DZ140" s="399"/>
      <c r="EA140" s="399"/>
      <c r="EB140" s="399"/>
      <c r="EC140" s="399"/>
      <c r="ED140" s="399"/>
      <c r="EE140" s="399"/>
      <c r="EF140" s="399"/>
      <c r="EG140" s="399"/>
      <c r="EH140" s="399"/>
      <c r="EI140" s="399"/>
      <c r="EJ140" s="399"/>
      <c r="EK140" s="399"/>
      <c r="EL140" s="399"/>
      <c r="EM140" s="399"/>
      <c r="EN140" s="399"/>
      <c r="EO140" s="399"/>
      <c r="EP140" s="399"/>
      <c r="EQ140" s="399"/>
      <c r="ER140" s="399"/>
      <c r="ES140" s="399"/>
      <c r="ET140" s="399"/>
      <c r="EU140" s="399"/>
      <c r="EV140" s="399">
        <v>216</v>
      </c>
      <c r="EW140" s="399"/>
      <c r="EX140" s="399"/>
      <c r="EY140" s="399"/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2355</v>
      </c>
      <c r="C141" s="399" t="s">
        <v>2352</v>
      </c>
      <c r="D141" s="399" t="s">
        <v>2363</v>
      </c>
      <c r="E141" s="399" t="s">
        <v>892</v>
      </c>
      <c r="F141" s="399" t="s">
        <v>2370</v>
      </c>
      <c r="G141" s="399" t="s">
        <v>2371</v>
      </c>
      <c r="H141" s="399" t="s">
        <v>1237</v>
      </c>
      <c r="I141" s="399" t="s">
        <v>1237</v>
      </c>
      <c r="J141" s="399" t="s">
        <v>2353</v>
      </c>
      <c r="K141" s="789">
        <v>44531</v>
      </c>
      <c r="L141" s="399">
        <v>0</v>
      </c>
      <c r="M141" s="399">
        <v>0</v>
      </c>
      <c r="N141" s="399">
        <v>0</v>
      </c>
      <c r="O141" s="399">
        <v>0</v>
      </c>
      <c r="P141" s="399">
        <v>0</v>
      </c>
      <c r="Q141" s="399">
        <v>0</v>
      </c>
      <c r="R141" s="399"/>
      <c r="S141" s="399"/>
      <c r="T141" s="399"/>
      <c r="U141" s="399"/>
      <c r="V141" s="399"/>
      <c r="W141" s="399"/>
      <c r="X141" s="399"/>
      <c r="Y141" s="399"/>
      <c r="Z141" s="399"/>
      <c r="AA141" s="399">
        <v>0</v>
      </c>
      <c r="AB141" s="399"/>
      <c r="AC141" s="399"/>
      <c r="AD141" s="399"/>
      <c r="AE141" s="399"/>
      <c r="AF141" s="399"/>
      <c r="AG141" s="399"/>
      <c r="AH141" s="399"/>
      <c r="AI141" s="399"/>
      <c r="AJ141" s="399"/>
      <c r="AK141" s="399"/>
      <c r="AL141" s="399"/>
      <c r="AM141" s="399"/>
      <c r="AN141" s="399"/>
      <c r="AO141" s="399"/>
      <c r="AP141" s="399"/>
      <c r="AQ141" s="399"/>
      <c r="AR141" s="399"/>
      <c r="AS141" s="399"/>
      <c r="AT141" s="399"/>
      <c r="AU141" s="399"/>
      <c r="AV141" s="399"/>
      <c r="AW141" s="399"/>
      <c r="AX141" s="399"/>
      <c r="AY141" s="399"/>
      <c r="AZ141" s="399">
        <v>0</v>
      </c>
      <c r="BA141" s="399"/>
      <c r="BB141" s="399"/>
      <c r="BC141" s="399"/>
      <c r="BD141" s="399"/>
      <c r="BE141" s="399"/>
      <c r="BF141" s="399"/>
      <c r="BG141" s="399"/>
      <c r="BH141" s="399"/>
      <c r="BI141" s="399">
        <v>0</v>
      </c>
      <c r="BJ141" s="399">
        <v>0</v>
      </c>
      <c r="BK141" s="399">
        <v>33.86</v>
      </c>
      <c r="BL141" s="399">
        <v>1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/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/>
      <c r="CJ141" s="399">
        <v>-0.03</v>
      </c>
      <c r="CK141" s="399"/>
      <c r="CL141" s="399"/>
      <c r="CM141" s="399"/>
      <c r="CN141" s="399"/>
      <c r="CO141" s="399">
        <v>0</v>
      </c>
      <c r="CP141" s="399">
        <v>0</v>
      </c>
      <c r="CQ141" s="399"/>
      <c r="CR141" s="399"/>
      <c r="CS141" s="399"/>
      <c r="CT141" s="399"/>
      <c r="CU141" s="399"/>
      <c r="CV141" s="399"/>
      <c r="CW141" s="399"/>
      <c r="CX141" s="399"/>
      <c r="CY141" s="399"/>
      <c r="CZ141" s="399"/>
      <c r="DA141" s="399"/>
      <c r="DB141" s="399"/>
      <c r="DC141" s="399"/>
      <c r="DD141" s="399"/>
      <c r="DE141" s="399"/>
      <c r="DF141" s="399"/>
      <c r="DG141" s="399"/>
      <c r="DH141" s="399"/>
      <c r="DI141" s="399"/>
      <c r="DJ141" s="399"/>
      <c r="DK141" s="399">
        <v>0</v>
      </c>
      <c r="DL141" s="399"/>
      <c r="DM141" s="399"/>
      <c r="DN141" s="399"/>
      <c r="DO141" s="399"/>
      <c r="DP141" s="399"/>
      <c r="DQ141" s="399"/>
      <c r="DR141" s="399"/>
      <c r="DS141" s="399"/>
      <c r="DT141" s="399"/>
      <c r="DU141" s="399"/>
      <c r="DV141" s="399"/>
      <c r="DW141" s="399"/>
      <c r="DX141" s="399"/>
      <c r="DY141" s="399"/>
      <c r="DZ141" s="399"/>
      <c r="EA141" s="399"/>
      <c r="EB141" s="399"/>
      <c r="EC141" s="399"/>
      <c r="ED141" s="399"/>
      <c r="EE141" s="399"/>
      <c r="EF141" s="399"/>
      <c r="EG141" s="399"/>
      <c r="EH141" s="399"/>
      <c r="EI141" s="399"/>
      <c r="EJ141" s="399"/>
      <c r="EK141" s="399"/>
      <c r="EL141" s="399"/>
      <c r="EM141" s="399"/>
      <c r="EN141" s="399"/>
      <c r="EO141" s="399"/>
      <c r="EP141" s="399"/>
      <c r="EQ141" s="399"/>
      <c r="ER141" s="399"/>
      <c r="ES141" s="399"/>
      <c r="ET141" s="399"/>
      <c r="EU141" s="399"/>
      <c r="EV141" s="399">
        <v>216</v>
      </c>
      <c r="EW141" s="399"/>
      <c r="EX141" s="399"/>
      <c r="EY141" s="399"/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954</v>
      </c>
      <c r="C142" s="399" t="s">
        <v>2352</v>
      </c>
      <c r="D142" s="399" t="s">
        <v>2363</v>
      </c>
      <c r="E142" s="399" t="s">
        <v>892</v>
      </c>
      <c r="F142" s="399" t="s">
        <v>2370</v>
      </c>
      <c r="G142" s="399" t="s">
        <v>2371</v>
      </c>
      <c r="H142" s="399" t="s">
        <v>1237</v>
      </c>
      <c r="I142" s="399" t="s">
        <v>1237</v>
      </c>
      <c r="J142" s="399" t="s">
        <v>2353</v>
      </c>
      <c r="K142" s="789">
        <v>44531</v>
      </c>
      <c r="L142" s="399">
        <v>0</v>
      </c>
      <c r="M142" s="399">
        <v>0</v>
      </c>
      <c r="N142" s="399">
        <v>8.4139999999999997</v>
      </c>
      <c r="O142" s="399">
        <v>8.4139999999999997</v>
      </c>
      <c r="P142" s="399">
        <v>8.4139999999999997</v>
      </c>
      <c r="Q142" s="399">
        <v>8.4139999999999997</v>
      </c>
      <c r="R142" s="399"/>
      <c r="S142" s="399">
        <v>415.98</v>
      </c>
      <c r="T142" s="399">
        <v>215.17</v>
      </c>
      <c r="U142" s="399"/>
      <c r="V142" s="399">
        <v>5310.4960999999994</v>
      </c>
      <c r="W142" s="399">
        <v>5310.4960999999994</v>
      </c>
      <c r="X142" s="399">
        <v>4615.4155599999995</v>
      </c>
      <c r="Y142" s="399">
        <v>0</v>
      </c>
      <c r="Z142" s="399">
        <v>513.9826363644911</v>
      </c>
      <c r="AA142" s="399">
        <v>0</v>
      </c>
      <c r="AB142" s="399">
        <v>0</v>
      </c>
      <c r="AC142" s="399">
        <v>0</v>
      </c>
      <c r="AD142" s="399">
        <v>751.50126828651059</v>
      </c>
      <c r="AE142" s="399">
        <v>2127.1474779781488</v>
      </c>
      <c r="AF142" s="399">
        <v>1773.3509428373377</v>
      </c>
      <c r="AG142" s="399">
        <v>37.080282895894875</v>
      </c>
      <c r="AH142" s="399">
        <v>0</v>
      </c>
      <c r="AI142" s="399">
        <v>0</v>
      </c>
      <c r="AJ142" s="399">
        <v>0</v>
      </c>
      <c r="AK142" s="399">
        <v>0</v>
      </c>
      <c r="AL142" s="399">
        <v>79.423501651082148</v>
      </c>
      <c r="AM142" s="399"/>
      <c r="AN142" s="399">
        <v>9.9066223869632104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18.106377246681014</v>
      </c>
      <c r="BH142" s="399">
        <v>0</v>
      </c>
      <c r="BI142" s="399">
        <v>0</v>
      </c>
      <c r="BJ142" s="399">
        <v>0</v>
      </c>
      <c r="BK142" s="399">
        <v>0</v>
      </c>
      <c r="BL142" s="399">
        <v>0</v>
      </c>
      <c r="BM142" s="399"/>
      <c r="BN142" s="399"/>
      <c r="BO142" s="399"/>
      <c r="BP142" s="399"/>
      <c r="BQ142" s="399"/>
      <c r="BR142" s="399">
        <v>553.80947999999989</v>
      </c>
      <c r="BS142" s="399"/>
      <c r="BT142" s="399"/>
      <c r="BU142" s="399"/>
      <c r="BV142" s="399">
        <v>1791.4573200840186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4059.6751999999997</v>
      </c>
      <c r="CJ142" s="399">
        <v>-613.57454000000052</v>
      </c>
      <c r="CK142" s="399"/>
      <c r="CL142" s="399"/>
      <c r="CM142" s="399"/>
      <c r="CN142" s="399"/>
      <c r="CO142" s="399">
        <v>-923.7730600000001</v>
      </c>
      <c r="CP142" s="399">
        <v>228.69252000000006</v>
      </c>
      <c r="CQ142" s="399"/>
      <c r="CR142" s="399">
        <v>238.23310188702271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31.279122553815228</v>
      </c>
      <c r="DA142" s="399">
        <v>0</v>
      </c>
      <c r="DB142" s="399">
        <v>0</v>
      </c>
      <c r="DC142" s="399">
        <v>228.68818745602698</v>
      </c>
      <c r="DD142" s="399">
        <v>0</v>
      </c>
      <c r="DE142" s="399">
        <v>0</v>
      </c>
      <c r="DF142" s="399">
        <v>0</v>
      </c>
      <c r="DG142" s="399">
        <v>2.3349662460570357</v>
      </c>
      <c r="DH142" s="399">
        <v>0</v>
      </c>
      <c r="DI142" s="399">
        <v>-20.898018666138341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-2.525313009519337</v>
      </c>
      <c r="DP142" s="399">
        <v>-0.64584269321908927</v>
      </c>
      <c r="DQ142" s="399">
        <v>0</v>
      </c>
      <c r="DR142" s="399">
        <v>0</v>
      </c>
      <c r="DS142" s="399"/>
      <c r="DT142" s="399"/>
      <c r="DU142" s="399"/>
      <c r="DV142" s="399">
        <v>2127.1474779781488</v>
      </c>
      <c r="DW142" s="399">
        <v>0</v>
      </c>
      <c r="DX142" s="399">
        <v>0</v>
      </c>
      <c r="DY142" s="399">
        <v>-923.77305999999999</v>
      </c>
      <c r="DZ142" s="399">
        <v>228.69252000000006</v>
      </c>
      <c r="EA142" s="399">
        <v>0</v>
      </c>
      <c r="EB142" s="399">
        <v>0</v>
      </c>
      <c r="EC142" s="399">
        <v>-933.33340495772813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216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2355</v>
      </c>
      <c r="C143" s="399" t="s">
        <v>2352</v>
      </c>
      <c r="D143" s="399" t="s">
        <v>2363</v>
      </c>
      <c r="E143" s="399" t="s">
        <v>892</v>
      </c>
      <c r="F143" s="399" t="s">
        <v>2370</v>
      </c>
      <c r="G143" s="399" t="s">
        <v>2371</v>
      </c>
      <c r="H143" s="399" t="s">
        <v>1237</v>
      </c>
      <c r="I143" s="399" t="s">
        <v>1237</v>
      </c>
      <c r="J143" s="399" t="s">
        <v>2353</v>
      </c>
      <c r="K143" s="789">
        <v>44531</v>
      </c>
      <c r="L143" s="399">
        <v>0</v>
      </c>
      <c r="M143" s="399">
        <v>0</v>
      </c>
      <c r="N143" s="399">
        <v>0.26500000000000001</v>
      </c>
      <c r="O143" s="399">
        <v>0.26500000000000001</v>
      </c>
      <c r="P143" s="399">
        <v>0.26500000000000001</v>
      </c>
      <c r="Q143" s="399">
        <v>0.26500000000000001</v>
      </c>
      <c r="R143" s="399"/>
      <c r="S143" s="399">
        <v>415.98</v>
      </c>
      <c r="T143" s="399">
        <v>215.17</v>
      </c>
      <c r="U143" s="399"/>
      <c r="V143" s="399">
        <v>167.25475</v>
      </c>
      <c r="W143" s="399">
        <v>167.25475</v>
      </c>
      <c r="X143" s="399">
        <v>145.3631</v>
      </c>
      <c r="Y143" s="399">
        <v>0</v>
      </c>
      <c r="Z143" s="399">
        <v>16.18794849495961</v>
      </c>
      <c r="AA143" s="399">
        <v>0</v>
      </c>
      <c r="AB143" s="399">
        <v>0</v>
      </c>
      <c r="AC143" s="399">
        <v>0</v>
      </c>
      <c r="AD143" s="399">
        <v>23.668628012351476</v>
      </c>
      <c r="AE143" s="399">
        <v>66.994780326148032</v>
      </c>
      <c r="AF143" s="399">
        <v>55.851913459935169</v>
      </c>
      <c r="AG143" s="399">
        <v>1.1678482252688547</v>
      </c>
      <c r="AH143" s="399">
        <v>0</v>
      </c>
      <c r="AI143" s="399">
        <v>0</v>
      </c>
      <c r="AJ143" s="399">
        <v>0</v>
      </c>
      <c r="AK143" s="399">
        <v>0</v>
      </c>
      <c r="AL143" s="399">
        <v>2.5014532847084352</v>
      </c>
      <c r="AM143" s="399"/>
      <c r="AN143" s="399">
        <v>0.31201033189270866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0.57026265395417985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>
        <v>17.442299999999999</v>
      </c>
      <c r="BS143" s="399"/>
      <c r="BT143" s="399"/>
      <c r="BU143" s="399"/>
      <c r="BV143" s="399">
        <v>56.42217611388935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130.33440000000002</v>
      </c>
      <c r="CJ143" s="399">
        <v>-16.879250000000013</v>
      </c>
      <c r="CK143" s="399"/>
      <c r="CL143" s="399"/>
      <c r="CM143" s="399"/>
      <c r="CN143" s="399"/>
      <c r="CO143" s="399">
        <v>-29.094350000000006</v>
      </c>
      <c r="CP143" s="399">
        <v>7.2027000000000019</v>
      </c>
      <c r="CQ143" s="399"/>
      <c r="CR143" s="399">
        <v>7.5031818397980743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0.98513994256727599</v>
      </c>
      <c r="DA143" s="399">
        <v>0</v>
      </c>
      <c r="DB143" s="399">
        <v>0</v>
      </c>
      <c r="DC143" s="399">
        <v>7.2025635459766022</v>
      </c>
      <c r="DD143" s="399">
        <v>0</v>
      </c>
      <c r="DE143" s="399">
        <v>0</v>
      </c>
      <c r="DF143" s="399">
        <v>0</v>
      </c>
      <c r="DG143" s="399">
        <v>7.3540058854898338E-2</v>
      </c>
      <c r="DH143" s="399">
        <v>0</v>
      </c>
      <c r="DI143" s="399">
        <v>-0.65818575547024771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-7.9535054376352221E-2</v>
      </c>
      <c r="DP143" s="399">
        <v>-2.0340897754107246E-2</v>
      </c>
      <c r="DQ143" s="399">
        <v>0</v>
      </c>
      <c r="DR143" s="399">
        <v>0</v>
      </c>
      <c r="DS143" s="399"/>
      <c r="DT143" s="399"/>
      <c r="DU143" s="399"/>
      <c r="DV143" s="399">
        <v>66.994780326148032</v>
      </c>
      <c r="DW143" s="399">
        <v>0</v>
      </c>
      <c r="DX143" s="399">
        <v>0</v>
      </c>
      <c r="DY143" s="399">
        <v>-29.094350000000006</v>
      </c>
      <c r="DZ143" s="399">
        <v>7.2027000000000072</v>
      </c>
      <c r="EA143" s="399">
        <v>0</v>
      </c>
      <c r="EB143" s="399">
        <v>0</v>
      </c>
      <c r="EC143" s="399">
        <v>-29.395454280223206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216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954</v>
      </c>
      <c r="C144" s="399" t="s">
        <v>2352</v>
      </c>
      <c r="D144" s="399" t="s">
        <v>2363</v>
      </c>
      <c r="E144" s="399" t="s">
        <v>892</v>
      </c>
      <c r="F144" s="399" t="s">
        <v>2370</v>
      </c>
      <c r="G144" s="399" t="s">
        <v>2372</v>
      </c>
      <c r="H144" s="399" t="s">
        <v>1237</v>
      </c>
      <c r="I144" s="399" t="s">
        <v>1237</v>
      </c>
      <c r="J144" s="399" t="s">
        <v>2353</v>
      </c>
      <c r="K144" s="789">
        <v>44531</v>
      </c>
      <c r="L144" s="399">
        <v>0</v>
      </c>
      <c r="M144" s="399">
        <v>0</v>
      </c>
      <c r="N144" s="399">
        <v>7.0330000000000004</v>
      </c>
      <c r="O144" s="399">
        <v>2.8132000000000001</v>
      </c>
      <c r="P144" s="399">
        <v>7.0330000000000004</v>
      </c>
      <c r="Q144" s="399">
        <v>2.8132000000000001</v>
      </c>
      <c r="R144" s="399"/>
      <c r="S144" s="399">
        <v>415.98</v>
      </c>
      <c r="T144" s="399">
        <v>215.17</v>
      </c>
      <c r="U144" s="399"/>
      <c r="V144" s="399">
        <v>4438.8779500000001</v>
      </c>
      <c r="W144" s="399">
        <v>4438.8779500000001</v>
      </c>
      <c r="X144" s="399">
        <v>3857.8818200000005</v>
      </c>
      <c r="Y144" s="399">
        <v>0</v>
      </c>
      <c r="Z144" s="399">
        <v>429.62204439641863</v>
      </c>
      <c r="AA144" s="399">
        <v>0</v>
      </c>
      <c r="AB144" s="399">
        <v>0</v>
      </c>
      <c r="AC144" s="399">
        <v>0</v>
      </c>
      <c r="AD144" s="399">
        <v>628.1564558900676</v>
      </c>
      <c r="AE144" s="399">
        <v>1778.0161888067889</v>
      </c>
      <c r="AF144" s="399">
        <v>1482.2887070329209</v>
      </c>
      <c r="AG144" s="399">
        <v>30.994251201191908</v>
      </c>
      <c r="AH144" s="399">
        <v>0</v>
      </c>
      <c r="AI144" s="399">
        <v>0</v>
      </c>
      <c r="AJ144" s="399">
        <v>0</v>
      </c>
      <c r="AK144" s="399">
        <v>0</v>
      </c>
      <c r="AL144" s="399">
        <v>66.387626231526127</v>
      </c>
      <c r="AM144" s="399"/>
      <c r="AN144" s="399">
        <v>8.2806364686846035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15.134555642489609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>
        <v>2499.893916</v>
      </c>
      <c r="BT144" s="399"/>
      <c r="BU144" s="399"/>
      <c r="BV144" s="399">
        <v>1497.4232626754106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1356.4432000000002</v>
      </c>
      <c r="CJ144" s="399">
        <v>-206.06621199999995</v>
      </c>
      <c r="CK144" s="399"/>
      <c r="CL144" s="399"/>
      <c r="CM144" s="399"/>
      <c r="CN144" s="399"/>
      <c r="CO144" s="399">
        <v>-772.15307000000018</v>
      </c>
      <c r="CP144" s="399">
        <v>191.15694000000005</v>
      </c>
      <c r="CQ144" s="399"/>
      <c r="CR144" s="399">
        <v>199.13161463886809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26.145242324813807</v>
      </c>
      <c r="DA144" s="399">
        <v>0</v>
      </c>
      <c r="DB144" s="399">
        <v>0</v>
      </c>
      <c r="DC144" s="399">
        <v>191.1533185617111</v>
      </c>
      <c r="DD144" s="399">
        <v>0</v>
      </c>
      <c r="DE144" s="399">
        <v>0</v>
      </c>
      <c r="DF144" s="399">
        <v>0</v>
      </c>
      <c r="DG144" s="399">
        <v>1.9517254110433981</v>
      </c>
      <c r="DH144" s="399">
        <v>0</v>
      </c>
      <c r="DI144" s="399">
        <v>-17.468001578197175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-2.1108303299203186</v>
      </c>
      <c r="DP144" s="399">
        <v>-0.53983975058353195</v>
      </c>
      <c r="DQ144" s="399">
        <v>0</v>
      </c>
      <c r="DR144" s="399">
        <v>0</v>
      </c>
      <c r="DS144" s="399"/>
      <c r="DT144" s="399"/>
      <c r="DU144" s="399"/>
      <c r="DV144" s="399">
        <v>1778.0161888067889</v>
      </c>
      <c r="DW144" s="399">
        <v>0</v>
      </c>
      <c r="DX144" s="399">
        <v>0</v>
      </c>
      <c r="DY144" s="399">
        <v>-772.1530700000003</v>
      </c>
      <c r="DZ144" s="399">
        <v>191.15694000000008</v>
      </c>
      <c r="EA144" s="399">
        <v>0</v>
      </c>
      <c r="EB144" s="399">
        <v>0</v>
      </c>
      <c r="EC144" s="399">
        <v>-780.14426397286695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216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2355</v>
      </c>
      <c r="C145" s="399" t="s">
        <v>2352</v>
      </c>
      <c r="D145" s="399" t="s">
        <v>2363</v>
      </c>
      <c r="E145" s="399" t="s">
        <v>892</v>
      </c>
      <c r="F145" s="399" t="s">
        <v>2370</v>
      </c>
      <c r="G145" s="399" t="s">
        <v>2372</v>
      </c>
      <c r="H145" s="399" t="s">
        <v>1237</v>
      </c>
      <c r="I145" s="399" t="s">
        <v>1237</v>
      </c>
      <c r="J145" s="399" t="s">
        <v>2353</v>
      </c>
      <c r="K145" s="789">
        <v>44531</v>
      </c>
      <c r="L145" s="399">
        <v>0</v>
      </c>
      <c r="M145" s="399">
        <v>0</v>
      </c>
      <c r="N145" s="399">
        <v>0.112</v>
      </c>
      <c r="O145" s="399">
        <v>4.48E-2</v>
      </c>
      <c r="P145" s="399">
        <v>0.112</v>
      </c>
      <c r="Q145" s="399">
        <v>4.48E-2</v>
      </c>
      <c r="R145" s="399"/>
      <c r="S145" s="399">
        <v>415.98</v>
      </c>
      <c r="T145" s="399">
        <v>215.17</v>
      </c>
      <c r="U145" s="399"/>
      <c r="V145" s="399">
        <v>70.688800000000001</v>
      </c>
      <c r="W145" s="399">
        <v>70.688800000000001</v>
      </c>
      <c r="X145" s="399">
        <v>61.436480000000003</v>
      </c>
      <c r="Y145" s="399">
        <v>0</v>
      </c>
      <c r="Z145" s="399">
        <v>6.841698986548967</v>
      </c>
      <c r="AA145" s="399">
        <v>0</v>
      </c>
      <c r="AB145" s="399">
        <v>0</v>
      </c>
      <c r="AC145" s="399">
        <v>0</v>
      </c>
      <c r="AD145" s="399">
        <v>10.00334466937119</v>
      </c>
      <c r="AE145" s="399">
        <v>28.314775081239919</v>
      </c>
      <c r="AF145" s="399">
        <v>23.605337009482035</v>
      </c>
      <c r="AG145" s="399">
        <v>0.49358113671740272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1.0572179920277158</v>
      </c>
      <c r="AM145" s="399"/>
      <c r="AN145" s="399">
        <v>0.13186851763012591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0.24101666884101183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/>
      <c r="BS145" s="399">
        <v>39.810624000000004</v>
      </c>
      <c r="BT145" s="399"/>
      <c r="BU145" s="399"/>
      <c r="BV145" s="399">
        <v>23.846353678323048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19.308800000000002</v>
      </c>
      <c r="CJ145" s="399">
        <v>-5.6035680000000028</v>
      </c>
      <c r="CK145" s="399"/>
      <c r="CL145" s="399"/>
      <c r="CM145" s="399"/>
      <c r="CN145" s="399"/>
      <c r="CO145" s="399">
        <v>-12.296480000000003</v>
      </c>
      <c r="CP145" s="399">
        <v>3.0441600000000006</v>
      </c>
      <c r="CQ145" s="399"/>
      <c r="CR145" s="399">
        <v>3.171156098329746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0.41636103233031996</v>
      </c>
      <c r="DA145" s="399">
        <v>0</v>
      </c>
      <c r="DB145" s="399">
        <v>0</v>
      </c>
      <c r="DC145" s="399">
        <v>3.0441023288655806</v>
      </c>
      <c r="DD145" s="399">
        <v>0</v>
      </c>
      <c r="DE145" s="399">
        <v>0</v>
      </c>
      <c r="DF145" s="399">
        <v>0</v>
      </c>
      <c r="DG145" s="399">
        <v>3.1081081478296663E-2</v>
      </c>
      <c r="DH145" s="399">
        <v>0</v>
      </c>
      <c r="DI145" s="399">
        <v>-0.2781766211798784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-3.3614815434533707E-2</v>
      </c>
      <c r="DP145" s="399">
        <v>-8.5969077300377672E-3</v>
      </c>
      <c r="DQ145" s="399">
        <v>0</v>
      </c>
      <c r="DR145" s="399">
        <v>0</v>
      </c>
      <c r="DS145" s="399"/>
      <c r="DT145" s="399"/>
      <c r="DU145" s="399"/>
      <c r="DV145" s="399">
        <v>28.314775081239919</v>
      </c>
      <c r="DW145" s="399">
        <v>0</v>
      </c>
      <c r="DX145" s="399">
        <v>0</v>
      </c>
      <c r="DY145" s="399">
        <v>-12.296480000000003</v>
      </c>
      <c r="DZ145" s="399">
        <v>3.0441600000000015</v>
      </c>
      <c r="EA145" s="399">
        <v>0</v>
      </c>
      <c r="EB145" s="399">
        <v>0</v>
      </c>
      <c r="EC145" s="399">
        <v>-12.423739167490558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216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954</v>
      </c>
      <c r="C146" s="399" t="s">
        <v>2352</v>
      </c>
      <c r="D146" s="399" t="s">
        <v>2363</v>
      </c>
      <c r="E146" s="399" t="s">
        <v>892</v>
      </c>
      <c r="F146" s="399" t="s">
        <v>2373</v>
      </c>
      <c r="G146" s="399" t="s">
        <v>2371</v>
      </c>
      <c r="H146" s="399" t="s">
        <v>1237</v>
      </c>
      <c r="I146" s="399" t="s">
        <v>1237</v>
      </c>
      <c r="J146" s="399" t="s">
        <v>2353</v>
      </c>
      <c r="K146" s="789">
        <v>44531</v>
      </c>
      <c r="L146" s="399">
        <v>0</v>
      </c>
      <c r="M146" s="399">
        <v>0</v>
      </c>
      <c r="N146" s="399">
        <v>0</v>
      </c>
      <c r="O146" s="399">
        <v>0</v>
      </c>
      <c r="P146" s="399">
        <v>0</v>
      </c>
      <c r="Q146" s="399">
        <v>0</v>
      </c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>
        <v>0</v>
      </c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>
        <v>0</v>
      </c>
      <c r="BA146" s="399"/>
      <c r="BB146" s="399"/>
      <c r="BC146" s="399"/>
      <c r="BD146" s="399"/>
      <c r="BE146" s="399"/>
      <c r="BF146" s="399"/>
      <c r="BG146" s="399"/>
      <c r="BH146" s="399"/>
      <c r="BI146" s="399">
        <v>0</v>
      </c>
      <c r="BJ146" s="399">
        <v>0</v>
      </c>
      <c r="BK146" s="399">
        <v>495.11</v>
      </c>
      <c r="BL146" s="399">
        <v>2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/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/>
      <c r="CJ146" s="399">
        <v>-0.03</v>
      </c>
      <c r="CK146" s="399"/>
      <c r="CL146" s="399"/>
      <c r="CM146" s="399"/>
      <c r="CN146" s="399"/>
      <c r="CO146" s="399">
        <v>0</v>
      </c>
      <c r="CP146" s="399">
        <v>0</v>
      </c>
      <c r="CQ146" s="399"/>
      <c r="CR146" s="399"/>
      <c r="CS146" s="399"/>
      <c r="CT146" s="399"/>
      <c r="CU146" s="399"/>
      <c r="CV146" s="399"/>
      <c r="CW146" s="399"/>
      <c r="CX146" s="399"/>
      <c r="CY146" s="399"/>
      <c r="CZ146" s="399"/>
      <c r="DA146" s="399"/>
      <c r="DB146" s="399"/>
      <c r="DC146" s="399"/>
      <c r="DD146" s="399"/>
      <c r="DE146" s="399"/>
      <c r="DF146" s="399"/>
      <c r="DG146" s="399"/>
      <c r="DH146" s="399"/>
      <c r="DI146" s="399"/>
      <c r="DJ146" s="399"/>
      <c r="DK146" s="399">
        <v>0</v>
      </c>
      <c r="DL146" s="399"/>
      <c r="DM146" s="399"/>
      <c r="DN146" s="399"/>
      <c r="DO146" s="399"/>
      <c r="DP146" s="399"/>
      <c r="DQ146" s="399"/>
      <c r="DR146" s="399"/>
      <c r="DS146" s="399"/>
      <c r="DT146" s="399"/>
      <c r="DU146" s="399"/>
      <c r="DV146" s="399"/>
      <c r="DW146" s="399"/>
      <c r="DX146" s="399"/>
      <c r="DY146" s="399"/>
      <c r="DZ146" s="399"/>
      <c r="EA146" s="399"/>
      <c r="EB146" s="399"/>
      <c r="EC146" s="399"/>
      <c r="ED146" s="399"/>
      <c r="EE146" s="399"/>
      <c r="EF146" s="399"/>
      <c r="EG146" s="399"/>
      <c r="EH146" s="399"/>
      <c r="EI146" s="399"/>
      <c r="EJ146" s="399"/>
      <c r="EK146" s="399"/>
      <c r="EL146" s="399"/>
      <c r="EM146" s="399"/>
      <c r="EN146" s="399"/>
      <c r="EO146" s="399"/>
      <c r="EP146" s="399"/>
      <c r="EQ146" s="399"/>
      <c r="ER146" s="399"/>
      <c r="ES146" s="399"/>
      <c r="ET146" s="399"/>
      <c r="EU146" s="399"/>
      <c r="EV146" s="399">
        <v>216</v>
      </c>
      <c r="EW146" s="399"/>
      <c r="EX146" s="399"/>
      <c r="EY146" s="399"/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954</v>
      </c>
      <c r="C147" s="399" t="s">
        <v>2352</v>
      </c>
      <c r="D147" s="399" t="s">
        <v>2363</v>
      </c>
      <c r="E147" s="399" t="s">
        <v>892</v>
      </c>
      <c r="F147" s="399" t="s">
        <v>2373</v>
      </c>
      <c r="G147" s="399" t="s">
        <v>2371</v>
      </c>
      <c r="H147" s="399" t="s">
        <v>1237</v>
      </c>
      <c r="I147" s="399" t="s">
        <v>1237</v>
      </c>
      <c r="J147" s="399" t="s">
        <v>2353</v>
      </c>
      <c r="K147" s="789">
        <v>44531</v>
      </c>
      <c r="L147" s="399">
        <v>0</v>
      </c>
      <c r="M147" s="399">
        <v>0</v>
      </c>
      <c r="N147" s="399">
        <v>0.35299999999999998</v>
      </c>
      <c r="O147" s="399">
        <v>0.35299999999999998</v>
      </c>
      <c r="P147" s="399">
        <v>0.35299999999999998</v>
      </c>
      <c r="Q147" s="399">
        <v>0.35299999999999998</v>
      </c>
      <c r="R147" s="399"/>
      <c r="S147" s="399">
        <v>415.98</v>
      </c>
      <c r="T147" s="399">
        <v>215.17</v>
      </c>
      <c r="U147" s="399"/>
      <c r="V147" s="399">
        <v>222.79594999999998</v>
      </c>
      <c r="W147" s="399">
        <v>222.79594999999998</v>
      </c>
      <c r="X147" s="399">
        <v>193.63461999999998</v>
      </c>
      <c r="Y147" s="399">
        <v>0</v>
      </c>
      <c r="Z147" s="399">
        <v>21.56356912724808</v>
      </c>
      <c r="AA147" s="399">
        <v>0</v>
      </c>
      <c r="AB147" s="399">
        <v>0</v>
      </c>
      <c r="AC147" s="399">
        <v>0</v>
      </c>
      <c r="AD147" s="399">
        <v>31.528398824000263</v>
      </c>
      <c r="AE147" s="399">
        <v>89.242103604265097</v>
      </c>
      <c r="AF147" s="399">
        <v>74.398963967385328</v>
      </c>
      <c r="AG147" s="399">
        <v>1.555661975546814</v>
      </c>
      <c r="AH147" s="399">
        <v>0</v>
      </c>
      <c r="AI147" s="399">
        <v>0</v>
      </c>
      <c r="AJ147" s="399">
        <v>0</v>
      </c>
      <c r="AK147" s="399">
        <v>0</v>
      </c>
      <c r="AL147" s="399">
        <v>3.3321245641587827</v>
      </c>
      <c r="AM147" s="399"/>
      <c r="AN147" s="399">
        <v>0.41562131003066471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0.75963289375783183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>
        <v>23.234459999999995</v>
      </c>
      <c r="BS147" s="399"/>
      <c r="BT147" s="399"/>
      <c r="BU147" s="399"/>
      <c r="BV147" s="399">
        <v>75.158596861143153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168.952</v>
      </c>
      <c r="CJ147" s="399">
        <v>-27.137729999999976</v>
      </c>
      <c r="CK147" s="399"/>
      <c r="CL147" s="399"/>
      <c r="CM147" s="399"/>
      <c r="CN147" s="399"/>
      <c r="CO147" s="399">
        <v>-38.755870000000002</v>
      </c>
      <c r="CP147" s="399">
        <v>9.5945400000000021</v>
      </c>
      <c r="CQ147" s="399"/>
      <c r="CR147" s="399">
        <v>9.9948044884857268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1.3122807536839574</v>
      </c>
      <c r="DA147" s="399">
        <v>0</v>
      </c>
      <c r="DB147" s="399">
        <v>0</v>
      </c>
      <c r="DC147" s="399">
        <v>9.594358232942426</v>
      </c>
      <c r="DD147" s="399">
        <v>0</v>
      </c>
      <c r="DE147" s="399">
        <v>0</v>
      </c>
      <c r="DF147" s="399">
        <v>0</v>
      </c>
      <c r="DG147" s="399">
        <v>9.7960908587845785E-2</v>
      </c>
      <c r="DH147" s="399">
        <v>0</v>
      </c>
      <c r="DI147" s="399">
        <v>-0.8767531006830076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-0.10594669507491439</v>
      </c>
      <c r="DP147" s="399">
        <v>-2.7095610970565509E-2</v>
      </c>
      <c r="DQ147" s="399">
        <v>0</v>
      </c>
      <c r="DR147" s="399">
        <v>0</v>
      </c>
      <c r="DS147" s="399"/>
      <c r="DT147" s="399"/>
      <c r="DU147" s="399"/>
      <c r="DV147" s="399">
        <v>89.242103604265097</v>
      </c>
      <c r="DW147" s="399">
        <v>0</v>
      </c>
      <c r="DX147" s="399">
        <v>0</v>
      </c>
      <c r="DY147" s="399">
        <v>-38.755870000000002</v>
      </c>
      <c r="DZ147" s="399">
        <v>9.5945400000000092</v>
      </c>
      <c r="EA147" s="399">
        <v>0</v>
      </c>
      <c r="EB147" s="399">
        <v>0</v>
      </c>
      <c r="EC147" s="399">
        <v>-39.156963626108634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216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954</v>
      </c>
      <c r="C148" s="399" t="s">
        <v>2352</v>
      </c>
      <c r="D148" s="399" t="s">
        <v>2363</v>
      </c>
      <c r="E148" s="399" t="s">
        <v>892</v>
      </c>
      <c r="F148" s="399" t="s">
        <v>2373</v>
      </c>
      <c r="G148" s="399" t="s">
        <v>2372</v>
      </c>
      <c r="H148" s="399" t="s">
        <v>1237</v>
      </c>
      <c r="I148" s="399" t="s">
        <v>1237</v>
      </c>
      <c r="J148" s="399" t="s">
        <v>2353</v>
      </c>
      <c r="K148" s="789">
        <v>44531</v>
      </c>
      <c r="L148" s="399">
        <v>0</v>
      </c>
      <c r="M148" s="399">
        <v>0</v>
      </c>
      <c r="N148" s="399">
        <v>2.3889999999999998</v>
      </c>
      <c r="O148" s="399">
        <v>0.9556</v>
      </c>
      <c r="P148" s="399">
        <v>2.3889999999999998</v>
      </c>
      <c r="Q148" s="399">
        <v>0.9556</v>
      </c>
      <c r="R148" s="399"/>
      <c r="S148" s="399">
        <v>415.98</v>
      </c>
      <c r="T148" s="399">
        <v>215.17</v>
      </c>
      <c r="U148" s="399"/>
      <c r="V148" s="399">
        <v>1507.8173499999998</v>
      </c>
      <c r="W148" s="399">
        <v>1507.8173499999998</v>
      </c>
      <c r="X148" s="399">
        <v>1310.4620599999998</v>
      </c>
      <c r="Y148" s="399">
        <v>0</v>
      </c>
      <c r="Z148" s="399">
        <v>145.9358828470132</v>
      </c>
      <c r="AA148" s="399">
        <v>0</v>
      </c>
      <c r="AB148" s="399">
        <v>0</v>
      </c>
      <c r="AC148" s="399">
        <v>0</v>
      </c>
      <c r="AD148" s="399">
        <v>213.37491442078365</v>
      </c>
      <c r="AE148" s="399">
        <v>603.96426490251929</v>
      </c>
      <c r="AF148" s="399">
        <v>503.51026888975514</v>
      </c>
      <c r="AG148" s="399">
        <v>10.528261925159597</v>
      </c>
      <c r="AH148" s="399">
        <v>0</v>
      </c>
      <c r="AI148" s="399">
        <v>0</v>
      </c>
      <c r="AJ148" s="399">
        <v>0</v>
      </c>
      <c r="AK148" s="399">
        <v>0</v>
      </c>
      <c r="AL148" s="399">
        <v>22.550837347805473</v>
      </c>
      <c r="AM148" s="399"/>
      <c r="AN148" s="399">
        <v>2.8128025769497391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5.1409716237605112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/>
      <c r="BS148" s="399">
        <v>849.17482799999993</v>
      </c>
      <c r="BT148" s="399"/>
      <c r="BU148" s="399"/>
      <c r="BV148" s="399">
        <v>508.65124051351563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463.41120000000001</v>
      </c>
      <c r="CJ148" s="399">
        <v>-67.368596000000025</v>
      </c>
      <c r="CK148" s="399"/>
      <c r="CL148" s="399"/>
      <c r="CM148" s="399"/>
      <c r="CN148" s="399"/>
      <c r="CO148" s="399">
        <v>-262.28831000000002</v>
      </c>
      <c r="CP148" s="399">
        <v>64.933020000000013</v>
      </c>
      <c r="CQ148" s="399"/>
      <c r="CR148" s="399">
        <v>67.641892133123065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8.8811295199744222</v>
      </c>
      <c r="DA148" s="399">
        <v>0</v>
      </c>
      <c r="DB148" s="399">
        <v>0</v>
      </c>
      <c r="DC148" s="399">
        <v>64.931789854106</v>
      </c>
      <c r="DD148" s="399">
        <v>0</v>
      </c>
      <c r="DE148" s="399">
        <v>0</v>
      </c>
      <c r="DF148" s="399">
        <v>0</v>
      </c>
      <c r="DG148" s="399">
        <v>0.66297056831830936</v>
      </c>
      <c r="DH148" s="399">
        <v>0</v>
      </c>
      <c r="DI148" s="399">
        <v>-5.9336066785600678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-0.7170160185098311</v>
      </c>
      <c r="DP148" s="399">
        <v>-0.18337511220589464</v>
      </c>
      <c r="DQ148" s="399">
        <v>0</v>
      </c>
      <c r="DR148" s="399">
        <v>0</v>
      </c>
      <c r="DS148" s="399"/>
      <c r="DT148" s="399"/>
      <c r="DU148" s="399"/>
      <c r="DV148" s="399">
        <v>603.96426490251929</v>
      </c>
      <c r="DW148" s="399">
        <v>0</v>
      </c>
      <c r="DX148" s="399">
        <v>0</v>
      </c>
      <c r="DY148" s="399">
        <v>-262.28831000000002</v>
      </c>
      <c r="DZ148" s="399">
        <v>64.933019999999942</v>
      </c>
      <c r="EA148" s="399">
        <v>0</v>
      </c>
      <c r="EB148" s="399">
        <v>0</v>
      </c>
      <c r="EC148" s="399">
        <v>-265.00279349227623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216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954</v>
      </c>
      <c r="C149" s="399" t="s">
        <v>2352</v>
      </c>
      <c r="D149" s="399" t="s">
        <v>1821</v>
      </c>
      <c r="E149" s="399" t="s">
        <v>887</v>
      </c>
      <c r="F149" s="399" t="s">
        <v>887</v>
      </c>
      <c r="G149" s="399" t="s">
        <v>1237</v>
      </c>
      <c r="H149" s="399" t="s">
        <v>1237</v>
      </c>
      <c r="I149" s="399" t="s">
        <v>1237</v>
      </c>
      <c r="J149" s="399" t="s">
        <v>2353</v>
      </c>
      <c r="K149" s="789">
        <v>44562</v>
      </c>
      <c r="L149" s="399">
        <v>0</v>
      </c>
      <c r="M149" s="399">
        <v>0</v>
      </c>
      <c r="N149" s="399">
        <v>520.61</v>
      </c>
      <c r="O149" s="399">
        <v>520.61</v>
      </c>
      <c r="P149" s="399">
        <v>520.61</v>
      </c>
      <c r="Q149" s="399">
        <v>520.61</v>
      </c>
      <c r="R149" s="399"/>
      <c r="S149" s="399">
        <v>415.98</v>
      </c>
      <c r="T149" s="399">
        <v>215.17</v>
      </c>
      <c r="U149" s="399"/>
      <c r="V149" s="399">
        <v>328583.00150000001</v>
      </c>
      <c r="W149" s="399">
        <v>328583.00150000001</v>
      </c>
      <c r="X149" s="399">
        <v>285575.4094</v>
      </c>
      <c r="Y149" s="399">
        <v>0</v>
      </c>
      <c r="Z149" s="399">
        <v>31802.293833814801</v>
      </c>
      <c r="AA149" s="399">
        <v>0</v>
      </c>
      <c r="AB149" s="399">
        <v>0</v>
      </c>
      <c r="AC149" s="399">
        <v>0</v>
      </c>
      <c r="AD149" s="399">
        <v>46498.582752869064</v>
      </c>
      <c r="AE149" s="399">
        <v>131615.67013432423</v>
      </c>
      <c r="AF149" s="399">
        <v>109724.77232595037</v>
      </c>
      <c r="AG149" s="399">
        <v>2294.3149605932772</v>
      </c>
      <c r="AH149" s="399">
        <v>0</v>
      </c>
      <c r="AI149" s="399">
        <v>0</v>
      </c>
      <c r="AJ149" s="399">
        <v>0</v>
      </c>
      <c r="AK149" s="399">
        <v>0</v>
      </c>
      <c r="AL149" s="399">
        <v>4914.2701681209746</v>
      </c>
      <c r="AM149" s="399"/>
      <c r="AN149" s="399">
        <v>612.96490145910593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1120.3186425474926</v>
      </c>
      <c r="BH149" s="399">
        <v>0</v>
      </c>
      <c r="BI149" s="399">
        <v>0</v>
      </c>
      <c r="BJ149" s="399">
        <v>0</v>
      </c>
      <c r="BK149" s="399">
        <v>73470.83</v>
      </c>
      <c r="BL149" s="399">
        <v>2846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110845.09096849787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285575.4094</v>
      </c>
      <c r="CJ149" s="399">
        <v>-43007.622100000037</v>
      </c>
      <c r="CK149" s="399"/>
      <c r="CL149" s="399"/>
      <c r="CM149" s="399"/>
      <c r="CN149" s="399"/>
      <c r="CO149" s="399">
        <v>-57157.771900000014</v>
      </c>
      <c r="CP149" s="399">
        <v>14150.179800000004</v>
      </c>
      <c r="CQ149" s="399">
        <v>31</v>
      </c>
      <c r="CR149" s="399">
        <v>14740.496217423672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1935.3724735847136</v>
      </c>
      <c r="DA149" s="399">
        <v>0</v>
      </c>
      <c r="DB149" s="399">
        <v>0</v>
      </c>
      <c r="DC149" s="399">
        <v>14149.911727059924</v>
      </c>
      <c r="DD149" s="399">
        <v>0</v>
      </c>
      <c r="DE149" s="399">
        <v>0</v>
      </c>
      <c r="DF149" s="399">
        <v>0</v>
      </c>
      <c r="DG149" s="399">
        <v>144.47430203942895</v>
      </c>
      <c r="DH149" s="399">
        <v>0</v>
      </c>
      <c r="DI149" s="399">
        <v>-1293.0493817183633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-156.25186663725526</v>
      </c>
      <c r="DP149" s="399">
        <v>-39.961036904776506</v>
      </c>
      <c r="DQ149" s="399">
        <v>0</v>
      </c>
      <c r="DR149" s="399">
        <v>0</v>
      </c>
      <c r="DS149" s="399"/>
      <c r="DT149" s="399"/>
      <c r="DU149" s="399"/>
      <c r="DV149" s="399">
        <v>131615.67013432423</v>
      </c>
      <c r="DW149" s="399">
        <v>0</v>
      </c>
      <c r="DX149" s="399">
        <v>0</v>
      </c>
      <c r="DY149" s="399">
        <v>-57157.771900000022</v>
      </c>
      <c r="DZ149" s="399">
        <v>14150.179799999998</v>
      </c>
      <c r="EA149" s="399">
        <v>0</v>
      </c>
      <c r="EB149" s="399">
        <v>0</v>
      </c>
      <c r="EC149" s="399">
        <v>-57749.311142743376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216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2355</v>
      </c>
      <c r="C150" s="399" t="s">
        <v>2352</v>
      </c>
      <c r="D150" s="399" t="s">
        <v>1821</v>
      </c>
      <c r="E150" s="399" t="s">
        <v>887</v>
      </c>
      <c r="F150" s="399" t="s">
        <v>887</v>
      </c>
      <c r="G150" s="399" t="s">
        <v>1237</v>
      </c>
      <c r="H150" s="399" t="s">
        <v>1237</v>
      </c>
      <c r="I150" s="399" t="s">
        <v>1237</v>
      </c>
      <c r="J150" s="399" t="s">
        <v>2353</v>
      </c>
      <c r="K150" s="789">
        <v>44562</v>
      </c>
      <c r="L150" s="399">
        <v>0</v>
      </c>
      <c r="M150" s="399">
        <v>0</v>
      </c>
      <c r="N150" s="399">
        <v>2.0299999999999998</v>
      </c>
      <c r="O150" s="399">
        <v>2.0299999999999998</v>
      </c>
      <c r="P150" s="399">
        <v>2.0299999999999998</v>
      </c>
      <c r="Q150" s="399">
        <v>2.0299999999999998</v>
      </c>
      <c r="R150" s="399"/>
      <c r="S150" s="399">
        <v>415.98</v>
      </c>
      <c r="T150" s="399">
        <v>215.17</v>
      </c>
      <c r="U150" s="399"/>
      <c r="V150" s="399">
        <v>1281.2345</v>
      </c>
      <c r="W150" s="399">
        <v>1281.2345</v>
      </c>
      <c r="X150" s="399">
        <v>1113.5361999999998</v>
      </c>
      <c r="Y150" s="399">
        <v>0</v>
      </c>
      <c r="Z150" s="399">
        <v>124.00579413120001</v>
      </c>
      <c r="AA150" s="399">
        <v>0</v>
      </c>
      <c r="AB150" s="399">
        <v>0</v>
      </c>
      <c r="AC150" s="399">
        <v>0</v>
      </c>
      <c r="AD150" s="399">
        <v>181.31062213235279</v>
      </c>
      <c r="AE150" s="399">
        <v>513.20529834747344</v>
      </c>
      <c r="AF150" s="399">
        <v>427.84673329686183</v>
      </c>
      <c r="AG150" s="399">
        <v>8.946158103002924</v>
      </c>
      <c r="AH150" s="399">
        <v>0</v>
      </c>
      <c r="AI150" s="399">
        <v>0</v>
      </c>
      <c r="AJ150" s="399">
        <v>0</v>
      </c>
      <c r="AK150" s="399">
        <v>0</v>
      </c>
      <c r="AL150" s="399">
        <v>19.162076105502347</v>
      </c>
      <c r="AM150" s="399"/>
      <c r="AN150" s="399">
        <v>2.3901168820460321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4.3684271227433387</v>
      </c>
      <c r="BH150" s="399">
        <v>0</v>
      </c>
      <c r="BI150" s="399">
        <v>0</v>
      </c>
      <c r="BJ150" s="399">
        <v>0</v>
      </c>
      <c r="BK150" s="399">
        <v>786.54</v>
      </c>
      <c r="BL150" s="399">
        <v>19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432.21516041960518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1113.5361999999998</v>
      </c>
      <c r="CJ150" s="399">
        <v>-167.72830000000022</v>
      </c>
      <c r="CK150" s="399"/>
      <c r="CL150" s="399"/>
      <c r="CM150" s="399"/>
      <c r="CN150" s="399"/>
      <c r="CO150" s="399">
        <v>-222.87370000000001</v>
      </c>
      <c r="CP150" s="399">
        <v>55.17540000000001</v>
      </c>
      <c r="CQ150" s="399">
        <v>31</v>
      </c>
      <c r="CR150" s="399">
        <v>57.477204282226467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7.5465437109870379</v>
      </c>
      <c r="DA150" s="399">
        <v>0</v>
      </c>
      <c r="DB150" s="399">
        <v>0</v>
      </c>
      <c r="DC150" s="399">
        <v>55.174354710688647</v>
      </c>
      <c r="DD150" s="399">
        <v>0</v>
      </c>
      <c r="DE150" s="399">
        <v>0</v>
      </c>
      <c r="DF150" s="399">
        <v>0</v>
      </c>
      <c r="DG150" s="399">
        <v>0.56334460179412726</v>
      </c>
      <c r="DH150" s="399">
        <v>0</v>
      </c>
      <c r="DI150" s="399">
        <v>-5.0419512588852911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-0.60926852975092416</v>
      </c>
      <c r="DP150" s="399">
        <v>-0.15581895260693468</v>
      </c>
      <c r="DQ150" s="399">
        <v>0</v>
      </c>
      <c r="DR150" s="399">
        <v>0</v>
      </c>
      <c r="DS150" s="399"/>
      <c r="DT150" s="399"/>
      <c r="DU150" s="399"/>
      <c r="DV150" s="399">
        <v>513.20529834747344</v>
      </c>
      <c r="DW150" s="399">
        <v>0</v>
      </c>
      <c r="DX150" s="399">
        <v>0</v>
      </c>
      <c r="DY150" s="399">
        <v>-222.8737000000001</v>
      </c>
      <c r="DZ150" s="399">
        <v>55.175400000000025</v>
      </c>
      <c r="EA150" s="399">
        <v>0</v>
      </c>
      <c r="EB150" s="399">
        <v>0</v>
      </c>
      <c r="EC150" s="399">
        <v>-225.18027241076629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216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954</v>
      </c>
      <c r="C151" s="399" t="s">
        <v>2352</v>
      </c>
      <c r="D151" s="399" t="s">
        <v>1821</v>
      </c>
      <c r="E151" s="399" t="s">
        <v>887</v>
      </c>
      <c r="F151" s="399" t="s">
        <v>2356</v>
      </c>
      <c r="G151" s="399" t="s">
        <v>1237</v>
      </c>
      <c r="H151" s="399" t="s">
        <v>1237</v>
      </c>
      <c r="I151" s="399" t="s">
        <v>1237</v>
      </c>
      <c r="J151" s="399" t="s">
        <v>2353</v>
      </c>
      <c r="K151" s="789">
        <v>44562</v>
      </c>
      <c r="L151" s="399">
        <v>0</v>
      </c>
      <c r="M151" s="399">
        <v>0</v>
      </c>
      <c r="N151" s="399">
        <v>5.52</v>
      </c>
      <c r="O151" s="399">
        <v>5.52</v>
      </c>
      <c r="P151" s="399">
        <v>5.52</v>
      </c>
      <c r="Q151" s="399">
        <v>5.52</v>
      </c>
      <c r="R151" s="399"/>
      <c r="S151" s="399">
        <v>345.46</v>
      </c>
      <c r="T151" s="399">
        <v>215.17</v>
      </c>
      <c r="U151" s="399"/>
      <c r="V151" s="399">
        <v>3094.6775999999995</v>
      </c>
      <c r="W151" s="399">
        <v>3094.6775999999995</v>
      </c>
      <c r="X151" s="399">
        <v>2654.0159999999996</v>
      </c>
      <c r="Y151" s="399">
        <v>0</v>
      </c>
      <c r="Z151" s="399">
        <v>0</v>
      </c>
      <c r="AA151" s="399">
        <v>0</v>
      </c>
      <c r="AB151" s="399">
        <v>0</v>
      </c>
      <c r="AC151" s="399">
        <v>0</v>
      </c>
      <c r="AD151" s="399">
        <v>493.02198727615144</v>
      </c>
      <c r="AE151" s="399">
        <v>1395.5139147182531</v>
      </c>
      <c r="AF151" s="399">
        <v>1163.4058954673287</v>
      </c>
      <c r="AG151" s="399">
        <v>24.326498881071991</v>
      </c>
      <c r="AH151" s="399">
        <v>0</v>
      </c>
      <c r="AI151" s="399">
        <v>0</v>
      </c>
      <c r="AJ151" s="399">
        <v>0</v>
      </c>
      <c r="AK151" s="399">
        <v>0</v>
      </c>
      <c r="AL151" s="399">
        <v>0</v>
      </c>
      <c r="AM151" s="399"/>
      <c r="AN151" s="399">
        <v>6.4992340831990632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11.878678678592724</v>
      </c>
      <c r="BH151" s="399">
        <v>0</v>
      </c>
      <c r="BI151" s="399">
        <v>0</v>
      </c>
      <c r="BJ151" s="399">
        <v>0</v>
      </c>
      <c r="BK151" s="399">
        <v>125.12</v>
      </c>
      <c r="BL151" s="399">
        <v>6</v>
      </c>
      <c r="BM151" s="399"/>
      <c r="BN151" s="399"/>
      <c r="BO151" s="399"/>
      <c r="BP151" s="399"/>
      <c r="BQ151" s="399"/>
      <c r="BR151" s="399"/>
      <c r="BS151" s="399"/>
      <c r="BT151" s="399">
        <v>1725.1104</v>
      </c>
      <c r="BU151" s="399"/>
      <c r="BV151" s="399">
        <v>1175.2845741459214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928.90559999999982</v>
      </c>
      <c r="CJ151" s="399">
        <v>-154.25880000000006</v>
      </c>
      <c r="CK151" s="399"/>
      <c r="CL151" s="399"/>
      <c r="CM151" s="399"/>
      <c r="CN151" s="399"/>
      <c r="CO151" s="399">
        <v>-590.69519999999989</v>
      </c>
      <c r="CP151" s="399">
        <v>150.03360000000004</v>
      </c>
      <c r="CQ151" s="399">
        <v>31</v>
      </c>
      <c r="CR151" s="399">
        <v>171.65955707939088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20.520650879137179</v>
      </c>
      <c r="DA151" s="399">
        <v>0</v>
      </c>
      <c r="DB151" s="399">
        <v>0</v>
      </c>
      <c r="DC151" s="399">
        <v>150.03075763694665</v>
      </c>
      <c r="DD151" s="399">
        <v>0</v>
      </c>
      <c r="DE151" s="399">
        <v>0</v>
      </c>
      <c r="DF151" s="399">
        <v>0</v>
      </c>
      <c r="DG151" s="399">
        <v>1.5318533014303366</v>
      </c>
      <c r="DH151" s="399">
        <v>0</v>
      </c>
      <c r="DI151" s="399">
        <v>0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0</v>
      </c>
      <c r="DP151" s="399">
        <v>-0.42370473812329035</v>
      </c>
      <c r="DQ151" s="399">
        <v>0</v>
      </c>
      <c r="DR151" s="399">
        <v>0</v>
      </c>
      <c r="DS151" s="399"/>
      <c r="DT151" s="399"/>
      <c r="DU151" s="399"/>
      <c r="DV151" s="399">
        <v>1395.5139147182531</v>
      </c>
      <c r="DW151" s="399">
        <v>0</v>
      </c>
      <c r="DX151" s="399">
        <v>0</v>
      </c>
      <c r="DY151" s="399">
        <v>-590.69519999999989</v>
      </c>
      <c r="DZ151" s="399">
        <v>150.03360000000021</v>
      </c>
      <c r="EA151" s="399">
        <v>0</v>
      </c>
      <c r="EB151" s="399">
        <v>0</v>
      </c>
      <c r="EC151" s="399">
        <v>-612.31285896917746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216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954</v>
      </c>
      <c r="C152" s="399" t="s">
        <v>2352</v>
      </c>
      <c r="D152" s="399" t="s">
        <v>1821</v>
      </c>
      <c r="E152" s="399" t="s">
        <v>887</v>
      </c>
      <c r="F152" s="399" t="s">
        <v>2357</v>
      </c>
      <c r="G152" s="399" t="s">
        <v>1237</v>
      </c>
      <c r="H152" s="399" t="s">
        <v>1237</v>
      </c>
      <c r="I152" s="399" t="s">
        <v>1237</v>
      </c>
      <c r="J152" s="399" t="s">
        <v>2353</v>
      </c>
      <c r="K152" s="789">
        <v>44562</v>
      </c>
      <c r="L152" s="399">
        <v>0</v>
      </c>
      <c r="M152" s="399">
        <v>0</v>
      </c>
      <c r="N152" s="399">
        <v>11.669</v>
      </c>
      <c r="O152" s="399">
        <v>11.669</v>
      </c>
      <c r="P152" s="399">
        <v>11.669</v>
      </c>
      <c r="Q152" s="399">
        <v>11.669</v>
      </c>
      <c r="R152" s="399"/>
      <c r="S152" s="399">
        <v>345.46</v>
      </c>
      <c r="T152" s="399">
        <v>215.17</v>
      </c>
      <c r="U152" s="399"/>
      <c r="V152" s="399">
        <v>6541.9914699999999</v>
      </c>
      <c r="W152" s="399">
        <v>6541.9914699999999</v>
      </c>
      <c r="X152" s="399">
        <v>5610.4552000000003</v>
      </c>
      <c r="Y152" s="399">
        <v>0</v>
      </c>
      <c r="Z152" s="399">
        <v>0</v>
      </c>
      <c r="AA152" s="399">
        <v>0</v>
      </c>
      <c r="AB152" s="399">
        <v>0</v>
      </c>
      <c r="AC152" s="399">
        <v>0</v>
      </c>
      <c r="AD152" s="399">
        <v>1042.2234727401108</v>
      </c>
      <c r="AE152" s="399">
        <v>2950.0456287766842</v>
      </c>
      <c r="AF152" s="399">
        <v>2459.3810496754095</v>
      </c>
      <c r="AG152" s="399">
        <v>51.424984681744398</v>
      </c>
      <c r="AH152" s="399">
        <v>0</v>
      </c>
      <c r="AI152" s="399">
        <v>0</v>
      </c>
      <c r="AJ152" s="399">
        <v>0</v>
      </c>
      <c r="AK152" s="399">
        <v>0</v>
      </c>
      <c r="AL152" s="399">
        <v>0</v>
      </c>
      <c r="AM152" s="399"/>
      <c r="AN152" s="399">
        <v>13.739051180588746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25.110924184872921</v>
      </c>
      <c r="BH152" s="399">
        <v>0</v>
      </c>
      <c r="BI152" s="399">
        <v>0</v>
      </c>
      <c r="BJ152" s="399">
        <v>0</v>
      </c>
      <c r="BK152" s="399">
        <v>458.56</v>
      </c>
      <c r="BL152" s="399">
        <v>37</v>
      </c>
      <c r="BM152" s="399"/>
      <c r="BN152" s="399"/>
      <c r="BO152" s="399"/>
      <c r="BP152" s="399"/>
      <c r="BQ152" s="399"/>
      <c r="BR152" s="399"/>
      <c r="BS152" s="399"/>
      <c r="BT152" s="399">
        <v>2244.18208</v>
      </c>
      <c r="BU152" s="399"/>
      <c r="BV152" s="399">
        <v>2484.4919738602825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3366.5616</v>
      </c>
      <c r="CJ152" s="399">
        <v>-558.56993000000102</v>
      </c>
      <c r="CK152" s="399"/>
      <c r="CL152" s="399"/>
      <c r="CM152" s="399"/>
      <c r="CN152" s="399"/>
      <c r="CO152" s="399">
        <v>-1248.6996899999999</v>
      </c>
      <c r="CP152" s="399">
        <v>317.16342000000009</v>
      </c>
      <c r="CQ152" s="399">
        <v>31</v>
      </c>
      <c r="CR152" s="399">
        <v>362.87959629699481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43.379615055915338</v>
      </c>
      <c r="DA152" s="399">
        <v>0</v>
      </c>
      <c r="DB152" s="399">
        <v>0</v>
      </c>
      <c r="DC152" s="399">
        <v>317.1574113886827</v>
      </c>
      <c r="DD152" s="399">
        <v>0</v>
      </c>
      <c r="DE152" s="399">
        <v>0</v>
      </c>
      <c r="DF152" s="399">
        <v>0</v>
      </c>
      <c r="DG152" s="399">
        <v>3.2382601765200327</v>
      </c>
      <c r="DH152" s="399">
        <v>0</v>
      </c>
      <c r="DI152" s="399">
        <v>0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0</v>
      </c>
      <c r="DP152" s="399">
        <v>-0.8956903241233114</v>
      </c>
      <c r="DQ152" s="399">
        <v>0</v>
      </c>
      <c r="DR152" s="399">
        <v>0</v>
      </c>
      <c r="DS152" s="399"/>
      <c r="DT152" s="399"/>
      <c r="DU152" s="399"/>
      <c r="DV152" s="399">
        <v>2950.0456287766842</v>
      </c>
      <c r="DW152" s="399">
        <v>0</v>
      </c>
      <c r="DX152" s="399">
        <v>0</v>
      </c>
      <c r="DY152" s="399">
        <v>-1248.6996899999999</v>
      </c>
      <c r="DZ152" s="399">
        <v>317.16342000000031</v>
      </c>
      <c r="EA152" s="399">
        <v>0</v>
      </c>
      <c r="EB152" s="399">
        <v>0</v>
      </c>
      <c r="EC152" s="399">
        <v>-1294.3983245129225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216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954</v>
      </c>
      <c r="C153" s="399" t="s">
        <v>2352</v>
      </c>
      <c r="D153" s="399" t="s">
        <v>1821</v>
      </c>
      <c r="E153" s="399" t="s">
        <v>887</v>
      </c>
      <c r="F153" s="399" t="s">
        <v>2358</v>
      </c>
      <c r="G153" s="399" t="s">
        <v>1237</v>
      </c>
      <c r="H153" s="399" t="s">
        <v>1237</v>
      </c>
      <c r="I153" s="399" t="s">
        <v>1237</v>
      </c>
      <c r="J153" s="399" t="s">
        <v>2353</v>
      </c>
      <c r="K153" s="789">
        <v>44562</v>
      </c>
      <c r="L153" s="399">
        <v>0</v>
      </c>
      <c r="M153" s="399">
        <v>0</v>
      </c>
      <c r="N153" s="399">
        <v>11.513999999999999</v>
      </c>
      <c r="O153" s="399">
        <v>11.513999999999999</v>
      </c>
      <c r="P153" s="399">
        <v>11.513999999999999</v>
      </c>
      <c r="Q153" s="399">
        <v>11.513999999999999</v>
      </c>
      <c r="R153" s="399"/>
      <c r="S153" s="399">
        <v>345.46</v>
      </c>
      <c r="T153" s="399">
        <v>215.17</v>
      </c>
      <c r="U153" s="399"/>
      <c r="V153" s="399">
        <v>6455.0938199999991</v>
      </c>
      <c r="W153" s="399">
        <v>6455.0938199999991</v>
      </c>
      <c r="X153" s="399">
        <v>5535.9311999999991</v>
      </c>
      <c r="Y153" s="399">
        <v>0</v>
      </c>
      <c r="Z153" s="399">
        <v>0</v>
      </c>
      <c r="AA153" s="399">
        <v>0</v>
      </c>
      <c r="AB153" s="399">
        <v>0</v>
      </c>
      <c r="AC153" s="399">
        <v>0</v>
      </c>
      <c r="AD153" s="399">
        <v>1028.3795582423202</v>
      </c>
      <c r="AE153" s="399">
        <v>2910.8600025481824</v>
      </c>
      <c r="AF153" s="399">
        <v>2426.7129493497869</v>
      </c>
      <c r="AG153" s="399">
        <v>50.741903644322988</v>
      </c>
      <c r="AH153" s="399">
        <v>0</v>
      </c>
      <c r="AI153" s="399">
        <v>0</v>
      </c>
      <c r="AJ153" s="399">
        <v>0</v>
      </c>
      <c r="AK153" s="399">
        <v>0</v>
      </c>
      <c r="AL153" s="399">
        <v>0</v>
      </c>
      <c r="AM153" s="399"/>
      <c r="AN153" s="399">
        <v>13.55655457136848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24.777374330673304</v>
      </c>
      <c r="BH153" s="399">
        <v>0</v>
      </c>
      <c r="BI153" s="399">
        <v>0</v>
      </c>
      <c r="BJ153" s="399">
        <v>0</v>
      </c>
      <c r="BK153" s="399">
        <v>1138.54</v>
      </c>
      <c r="BL153" s="399">
        <v>88</v>
      </c>
      <c r="BM153" s="399"/>
      <c r="BN153" s="399"/>
      <c r="BO153" s="399"/>
      <c r="BP153" s="399"/>
      <c r="BQ153" s="399"/>
      <c r="BR153" s="399"/>
      <c r="BS153" s="399"/>
      <c r="BT153" s="399">
        <v>553.70825999999965</v>
      </c>
      <c r="BU153" s="399"/>
      <c r="BV153" s="399">
        <v>2451.4903236804603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4980.4920999999995</v>
      </c>
      <c r="CJ153" s="399">
        <v>-829.04174000000057</v>
      </c>
      <c r="CK153" s="399"/>
      <c r="CL153" s="399"/>
      <c r="CM153" s="399"/>
      <c r="CN153" s="399"/>
      <c r="CO153" s="399">
        <v>-1232.1131399999999</v>
      </c>
      <c r="CP153" s="399">
        <v>312.95052000000004</v>
      </c>
      <c r="CQ153" s="399">
        <v>31</v>
      </c>
      <c r="CR153" s="399">
        <v>358.05944569059966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42.803401127243887</v>
      </c>
      <c r="DA153" s="399">
        <v>0</v>
      </c>
      <c r="DB153" s="399">
        <v>0</v>
      </c>
      <c r="DC153" s="399">
        <v>312.94459120141346</v>
      </c>
      <c r="DD153" s="399">
        <v>0</v>
      </c>
      <c r="DE153" s="399">
        <v>0</v>
      </c>
      <c r="DF153" s="399">
        <v>0</v>
      </c>
      <c r="DG153" s="399">
        <v>3.1952461798313188</v>
      </c>
      <c r="DH153" s="399">
        <v>0</v>
      </c>
      <c r="DI153" s="399">
        <v>0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0</v>
      </c>
      <c r="DP153" s="399">
        <v>-0.88379281788977515</v>
      </c>
      <c r="DQ153" s="399">
        <v>0</v>
      </c>
      <c r="DR153" s="399">
        <v>0</v>
      </c>
      <c r="DS153" s="399"/>
      <c r="DT153" s="399"/>
      <c r="DU153" s="399"/>
      <c r="DV153" s="399">
        <v>2910.8600025481824</v>
      </c>
      <c r="DW153" s="399">
        <v>0</v>
      </c>
      <c r="DX153" s="399">
        <v>0</v>
      </c>
      <c r="DY153" s="399">
        <v>-1232.1131399999999</v>
      </c>
      <c r="DZ153" s="399">
        <v>312.95052000000032</v>
      </c>
      <c r="EA153" s="399">
        <v>0</v>
      </c>
      <c r="EB153" s="399">
        <v>0</v>
      </c>
      <c r="EC153" s="399">
        <v>-1277.2047569150561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216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954</v>
      </c>
      <c r="C154" s="399" t="s">
        <v>2352</v>
      </c>
      <c r="D154" s="399" t="s">
        <v>1821</v>
      </c>
      <c r="E154" s="399" t="s">
        <v>887</v>
      </c>
      <c r="F154" s="399" t="s">
        <v>2359</v>
      </c>
      <c r="G154" s="399" t="s">
        <v>1237</v>
      </c>
      <c r="H154" s="399" t="s">
        <v>1237</v>
      </c>
      <c r="I154" s="399" t="s">
        <v>1237</v>
      </c>
      <c r="J154" s="399" t="s">
        <v>2353</v>
      </c>
      <c r="K154" s="789">
        <v>44562</v>
      </c>
      <c r="L154" s="399">
        <v>0</v>
      </c>
      <c r="M154" s="399">
        <v>0</v>
      </c>
      <c r="N154" s="399">
        <v>4.2629999999999999</v>
      </c>
      <c r="O154" s="399">
        <v>4.2629999999999999</v>
      </c>
      <c r="P154" s="399">
        <v>4.2629999999999999</v>
      </c>
      <c r="Q154" s="399">
        <v>4.2629999999999999</v>
      </c>
      <c r="R154" s="399"/>
      <c r="S154" s="399">
        <v>345.46</v>
      </c>
      <c r="T154" s="399">
        <v>215.17</v>
      </c>
      <c r="U154" s="399"/>
      <c r="V154" s="399">
        <v>2389.96569</v>
      </c>
      <c r="W154" s="399">
        <v>2389.96569</v>
      </c>
      <c r="X154" s="399">
        <v>2049.6504</v>
      </c>
      <c r="Y154" s="399">
        <v>0</v>
      </c>
      <c r="Z154" s="399">
        <v>0</v>
      </c>
      <c r="AA154" s="399">
        <v>0</v>
      </c>
      <c r="AB154" s="399">
        <v>0</v>
      </c>
      <c r="AC154" s="399">
        <v>0</v>
      </c>
      <c r="AD154" s="399">
        <v>380.75230647794086</v>
      </c>
      <c r="AE154" s="399">
        <v>1077.7311265296944</v>
      </c>
      <c r="AF154" s="399">
        <v>898.47813992340991</v>
      </c>
      <c r="AG154" s="399">
        <v>18.786932016306142</v>
      </c>
      <c r="AH154" s="399">
        <v>0</v>
      </c>
      <c r="AI154" s="399">
        <v>0</v>
      </c>
      <c r="AJ154" s="399">
        <v>0</v>
      </c>
      <c r="AK154" s="399">
        <v>0</v>
      </c>
      <c r="AL154" s="399">
        <v>0</v>
      </c>
      <c r="AM154" s="399"/>
      <c r="AN154" s="399">
        <v>5.0192454522966674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9.1736969577610132</v>
      </c>
      <c r="BH154" s="399">
        <v>0</v>
      </c>
      <c r="BI154" s="399">
        <v>0</v>
      </c>
      <c r="BJ154" s="399">
        <v>0</v>
      </c>
      <c r="BK154" s="399">
        <v>683.15</v>
      </c>
      <c r="BL154" s="399">
        <v>53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907.65183688117088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2048.2079999999996</v>
      </c>
      <c r="CJ154" s="399">
        <v>-341.78769000000057</v>
      </c>
      <c r="CK154" s="399"/>
      <c r="CL154" s="399"/>
      <c r="CM154" s="399"/>
      <c r="CN154" s="399"/>
      <c r="CO154" s="399">
        <v>-456.18362999999994</v>
      </c>
      <c r="CP154" s="399">
        <v>115.86834000000003</v>
      </c>
      <c r="CQ154" s="399">
        <v>31</v>
      </c>
      <c r="CR154" s="399">
        <v>132.56969054881233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15.847741793072828</v>
      </c>
      <c r="DA154" s="399">
        <v>0</v>
      </c>
      <c r="DB154" s="399">
        <v>0</v>
      </c>
      <c r="DC154" s="399">
        <v>115.86614489244619</v>
      </c>
      <c r="DD154" s="399">
        <v>0</v>
      </c>
      <c r="DE154" s="399">
        <v>0</v>
      </c>
      <c r="DF154" s="399">
        <v>0</v>
      </c>
      <c r="DG154" s="399">
        <v>1.183023663767667</v>
      </c>
      <c r="DH154" s="399">
        <v>0</v>
      </c>
      <c r="DI154" s="399">
        <v>0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0</v>
      </c>
      <c r="DP154" s="399">
        <v>-0.32721980047456256</v>
      </c>
      <c r="DQ154" s="399">
        <v>0</v>
      </c>
      <c r="DR154" s="399">
        <v>0</v>
      </c>
      <c r="DS154" s="399"/>
      <c r="DT154" s="399"/>
      <c r="DU154" s="399"/>
      <c r="DV154" s="399">
        <v>1077.7311265296944</v>
      </c>
      <c r="DW154" s="399">
        <v>0</v>
      </c>
      <c r="DX154" s="399">
        <v>0</v>
      </c>
      <c r="DY154" s="399">
        <v>-456.18362999999999</v>
      </c>
      <c r="DZ154" s="399">
        <v>115.8683400000001</v>
      </c>
      <c r="EA154" s="399">
        <v>0</v>
      </c>
      <c r="EB154" s="399">
        <v>0</v>
      </c>
      <c r="EC154" s="399">
        <v>-472.87857206260935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216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954</v>
      </c>
      <c r="C155" s="399" t="s">
        <v>2352</v>
      </c>
      <c r="D155" s="399" t="s">
        <v>1824</v>
      </c>
      <c r="E155" s="399" t="s">
        <v>888</v>
      </c>
      <c r="F155" s="399" t="s">
        <v>1237</v>
      </c>
      <c r="G155" s="399" t="s">
        <v>1237</v>
      </c>
      <c r="H155" s="399" t="s">
        <v>1237</v>
      </c>
      <c r="I155" s="399" t="s">
        <v>1237</v>
      </c>
      <c r="J155" s="399" t="s">
        <v>2353</v>
      </c>
      <c r="K155" s="789">
        <v>44562</v>
      </c>
      <c r="L155" s="399">
        <v>0</v>
      </c>
      <c r="M155" s="399">
        <v>0</v>
      </c>
      <c r="N155" s="399">
        <v>17.579000000000001</v>
      </c>
      <c r="O155" s="399">
        <v>17.579000000000001</v>
      </c>
      <c r="P155" s="399">
        <v>17.579000000000001</v>
      </c>
      <c r="Q155" s="399">
        <v>17.579000000000001</v>
      </c>
      <c r="R155" s="399"/>
      <c r="S155" s="399">
        <v>415.98</v>
      </c>
      <c r="T155" s="399">
        <v>215.17</v>
      </c>
      <c r="U155" s="399"/>
      <c r="V155" s="399">
        <v>11094.985850000001</v>
      </c>
      <c r="W155" s="399">
        <v>11094.985850000001</v>
      </c>
      <c r="X155" s="399">
        <v>9642.7846600000012</v>
      </c>
      <c r="Y155" s="399">
        <v>0</v>
      </c>
      <c r="Z155" s="399">
        <v>1073.8413078977169</v>
      </c>
      <c r="AA155" s="399">
        <v>0</v>
      </c>
      <c r="AB155" s="399">
        <v>0</v>
      </c>
      <c r="AC155" s="399">
        <v>0</v>
      </c>
      <c r="AD155" s="399">
        <v>1570.0785352042512</v>
      </c>
      <c r="AE155" s="399">
        <v>4444.1556352956832</v>
      </c>
      <c r="AF155" s="399">
        <v>3704.9841008007561</v>
      </c>
      <c r="AG155" s="399">
        <v>77.470203592457352</v>
      </c>
      <c r="AH155" s="399">
        <v>0</v>
      </c>
      <c r="AI155" s="399">
        <v>0</v>
      </c>
      <c r="AJ155" s="399">
        <v>0</v>
      </c>
      <c r="AK155" s="399">
        <v>0</v>
      </c>
      <c r="AL155" s="399">
        <v>165.93602751656445</v>
      </c>
      <c r="AM155" s="399"/>
      <c r="AN155" s="399">
        <v>20.697470280535569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37.828857335322745</v>
      </c>
      <c r="BH155" s="399">
        <v>0</v>
      </c>
      <c r="BI155" s="399">
        <v>0</v>
      </c>
      <c r="BJ155" s="399">
        <v>0</v>
      </c>
      <c r="BK155" s="399">
        <v>4046.02</v>
      </c>
      <c r="BL155" s="399">
        <v>37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3742.812958136079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9643.3331999999991</v>
      </c>
      <c r="CJ155" s="399">
        <v>-1451.6826500000025</v>
      </c>
      <c r="CK155" s="399"/>
      <c r="CL155" s="399"/>
      <c r="CM155" s="399"/>
      <c r="CN155" s="399"/>
      <c r="CO155" s="399">
        <v>-1929.9984100000004</v>
      </c>
      <c r="CP155" s="399">
        <v>477.79722000000015</v>
      </c>
      <c r="CQ155" s="399">
        <v>31</v>
      </c>
      <c r="CR155" s="399">
        <v>497.72993796909486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65.350094529774196</v>
      </c>
      <c r="DA155" s="399">
        <v>0</v>
      </c>
      <c r="DB155" s="399">
        <v>0</v>
      </c>
      <c r="DC155" s="399">
        <v>477.78816820650081</v>
      </c>
      <c r="DD155" s="399">
        <v>0</v>
      </c>
      <c r="DE155" s="399">
        <v>0</v>
      </c>
      <c r="DF155" s="399">
        <v>0</v>
      </c>
      <c r="DG155" s="399">
        <v>4.8783422438122912</v>
      </c>
      <c r="DH155" s="399">
        <v>0</v>
      </c>
      <c r="DI155" s="399">
        <v>-43.661310926081114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-5.2760253618184834</v>
      </c>
      <c r="DP155" s="399">
        <v>-1.3493307230922689</v>
      </c>
      <c r="DQ155" s="399">
        <v>0</v>
      </c>
      <c r="DR155" s="399">
        <v>0</v>
      </c>
      <c r="DS155" s="399"/>
      <c r="DT155" s="399"/>
      <c r="DU155" s="399"/>
      <c r="DV155" s="399">
        <v>4444.1556352956832</v>
      </c>
      <c r="DW155" s="399">
        <v>0</v>
      </c>
      <c r="DX155" s="399">
        <v>0</v>
      </c>
      <c r="DY155" s="399">
        <v>-1929.9984100000011</v>
      </c>
      <c r="DZ155" s="399">
        <v>477.79722000000038</v>
      </c>
      <c r="EA155" s="399">
        <v>0</v>
      </c>
      <c r="EB155" s="399">
        <v>0</v>
      </c>
      <c r="EC155" s="399">
        <v>-1949.9724180831831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216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2355</v>
      </c>
      <c r="C156" s="399" t="s">
        <v>2352</v>
      </c>
      <c r="D156" s="399" t="s">
        <v>1824</v>
      </c>
      <c r="E156" s="399" t="s">
        <v>888</v>
      </c>
      <c r="F156" s="399" t="s">
        <v>1237</v>
      </c>
      <c r="G156" s="399" t="s">
        <v>1237</v>
      </c>
      <c r="H156" s="399" t="s">
        <v>1237</v>
      </c>
      <c r="I156" s="399" t="s">
        <v>1237</v>
      </c>
      <c r="J156" s="399" t="s">
        <v>2353</v>
      </c>
      <c r="K156" s="789">
        <v>44562</v>
      </c>
      <c r="L156" s="399">
        <v>0</v>
      </c>
      <c r="M156" s="399">
        <v>0</v>
      </c>
      <c r="N156" s="399">
        <v>0.4</v>
      </c>
      <c r="O156" s="399">
        <v>0.4</v>
      </c>
      <c r="P156" s="399">
        <v>0.4</v>
      </c>
      <c r="Q156" s="399">
        <v>0.4</v>
      </c>
      <c r="R156" s="399"/>
      <c r="S156" s="399">
        <v>415.98</v>
      </c>
      <c r="T156" s="399">
        <v>215.17</v>
      </c>
      <c r="U156" s="399"/>
      <c r="V156" s="399">
        <v>252.46000000000004</v>
      </c>
      <c r="W156" s="399">
        <v>252.46000000000004</v>
      </c>
      <c r="X156" s="399">
        <v>219.416</v>
      </c>
      <c r="Y156" s="399">
        <v>0</v>
      </c>
      <c r="Z156" s="399">
        <v>24.434639237674883</v>
      </c>
      <c r="AA156" s="399">
        <v>0</v>
      </c>
      <c r="AB156" s="399">
        <v>0</v>
      </c>
      <c r="AC156" s="399">
        <v>0</v>
      </c>
      <c r="AD156" s="399">
        <v>35.726230962039963</v>
      </c>
      <c r="AE156" s="399">
        <v>101.124196718714</v>
      </c>
      <c r="AF156" s="399">
        <v>84.304775033864416</v>
      </c>
      <c r="AG156" s="399">
        <v>1.7627897739907241</v>
      </c>
      <c r="AH156" s="399">
        <v>0</v>
      </c>
      <c r="AI156" s="399">
        <v>0</v>
      </c>
      <c r="AJ156" s="399">
        <v>0</v>
      </c>
      <c r="AK156" s="399">
        <v>0</v>
      </c>
      <c r="AL156" s="399">
        <v>3.7757785429561284</v>
      </c>
      <c r="AM156" s="399"/>
      <c r="AN156" s="399">
        <v>0.47095899153616405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0.860773817289328</v>
      </c>
      <c r="BH156" s="399">
        <v>0</v>
      </c>
      <c r="BI156" s="399">
        <v>0</v>
      </c>
      <c r="BJ156" s="399">
        <v>0</v>
      </c>
      <c r="BK156" s="399">
        <v>1070.4100000000001</v>
      </c>
      <c r="BL156" s="399">
        <v>4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85.165548851153744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219.416</v>
      </c>
      <c r="CJ156" s="399">
        <v>-33.074000000000012</v>
      </c>
      <c r="CK156" s="399"/>
      <c r="CL156" s="399"/>
      <c r="CM156" s="399"/>
      <c r="CN156" s="399"/>
      <c r="CO156" s="399">
        <v>-43.916000000000011</v>
      </c>
      <c r="CP156" s="399">
        <v>10.872000000000003</v>
      </c>
      <c r="CQ156" s="399">
        <v>31</v>
      </c>
      <c r="CR156" s="399">
        <v>11.325557494034825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1.4870036868939991</v>
      </c>
      <c r="DA156" s="399">
        <v>0</v>
      </c>
      <c r="DB156" s="399">
        <v>0</v>
      </c>
      <c r="DC156" s="399">
        <v>10.871794031662787</v>
      </c>
      <c r="DD156" s="399">
        <v>0</v>
      </c>
      <c r="DE156" s="399">
        <v>0</v>
      </c>
      <c r="DF156" s="399">
        <v>0</v>
      </c>
      <c r="DG156" s="399">
        <v>0.11100386242248805</v>
      </c>
      <c r="DH156" s="399">
        <v>0</v>
      </c>
      <c r="DI156" s="399">
        <v>-0.99348793278528191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-0.12005291226619219</v>
      </c>
      <c r="DP156" s="399">
        <v>-3.0703241892992061E-2</v>
      </c>
      <c r="DQ156" s="399">
        <v>0</v>
      </c>
      <c r="DR156" s="399">
        <v>0</v>
      </c>
      <c r="DS156" s="399"/>
      <c r="DT156" s="399"/>
      <c r="DU156" s="399"/>
      <c r="DV156" s="399">
        <v>101.124196718714</v>
      </c>
      <c r="DW156" s="399">
        <v>0</v>
      </c>
      <c r="DX156" s="399">
        <v>0</v>
      </c>
      <c r="DY156" s="399">
        <v>-43.916000000000025</v>
      </c>
      <c r="DZ156" s="399">
        <v>10.872</v>
      </c>
      <c r="EA156" s="399">
        <v>0</v>
      </c>
      <c r="EB156" s="399">
        <v>0</v>
      </c>
      <c r="EC156" s="399">
        <v>-44.370497026751998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216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954</v>
      </c>
      <c r="C157" s="399" t="s">
        <v>2360</v>
      </c>
      <c r="D157" s="399" t="s">
        <v>533</v>
      </c>
      <c r="E157" s="399" t="s">
        <v>888</v>
      </c>
      <c r="F157" s="399" t="s">
        <v>1237</v>
      </c>
      <c r="G157" s="399" t="s">
        <v>1237</v>
      </c>
      <c r="H157" s="399" t="s">
        <v>1237</v>
      </c>
      <c r="I157" s="399" t="s">
        <v>891</v>
      </c>
      <c r="J157" s="399" t="s">
        <v>2353</v>
      </c>
      <c r="K157" s="789">
        <v>44562</v>
      </c>
      <c r="L157" s="399">
        <v>0</v>
      </c>
      <c r="M157" s="399">
        <v>0</v>
      </c>
      <c r="N157" s="399">
        <v>149.96299999999999</v>
      </c>
      <c r="O157" s="399">
        <v>149.96299999999999</v>
      </c>
      <c r="P157" s="399">
        <v>149.96299999999999</v>
      </c>
      <c r="Q157" s="399">
        <v>149.96299999999999</v>
      </c>
      <c r="R157" s="399"/>
      <c r="S157" s="399">
        <v>2184.0300000000002</v>
      </c>
      <c r="T157" s="399">
        <v>215.17</v>
      </c>
      <c r="U157" s="399"/>
      <c r="V157" s="399">
        <v>359791.22960000002</v>
      </c>
      <c r="W157" s="399">
        <v>359791.22960000002</v>
      </c>
      <c r="X157" s="399">
        <v>271491.51556999999</v>
      </c>
      <c r="Y157" s="399">
        <v>0</v>
      </c>
      <c r="Z157" s="399">
        <v>7969.8346736987678</v>
      </c>
      <c r="AA157" s="399">
        <v>0</v>
      </c>
      <c r="AB157" s="399">
        <v>0</v>
      </c>
      <c r="AC157" s="399">
        <v>0</v>
      </c>
      <c r="AD157" s="399">
        <v>98824.757135123626</v>
      </c>
      <c r="AE157" s="399">
        <v>219085.15707324952</v>
      </c>
      <c r="AF157" s="399">
        <v>31606.492446008517</v>
      </c>
      <c r="AG157" s="399">
        <v>660.88310719242736</v>
      </c>
      <c r="AH157" s="399">
        <v>0</v>
      </c>
      <c r="AI157" s="399">
        <v>0</v>
      </c>
      <c r="AJ157" s="399">
        <v>0</v>
      </c>
      <c r="AK157" s="399">
        <v>0</v>
      </c>
      <c r="AL157" s="399">
        <v>1415.5676940933245</v>
      </c>
      <c r="AM157" s="399"/>
      <c r="AN157" s="399">
        <v>103.45537163010211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124.59692040264879</v>
      </c>
      <c r="BH157" s="399">
        <v>0</v>
      </c>
      <c r="BI157" s="399">
        <v>0</v>
      </c>
      <c r="BJ157" s="399">
        <v>0</v>
      </c>
      <c r="BK157" s="399">
        <v>0</v>
      </c>
      <c r="BL157" s="399">
        <v>0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31731.089366411165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271486.08439999999</v>
      </c>
      <c r="CJ157" s="399">
        <v>-88305.175200000056</v>
      </c>
      <c r="CK157" s="399"/>
      <c r="CL157" s="399"/>
      <c r="CM157" s="399"/>
      <c r="CN157" s="399"/>
      <c r="CO157" s="399">
        <v>-92375.708370000037</v>
      </c>
      <c r="CP157" s="399">
        <v>4075.9943400000006</v>
      </c>
      <c r="CQ157" s="399">
        <v>31</v>
      </c>
      <c r="CR157" s="399">
        <v>7829.4881518846378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4113.3020265270461</v>
      </c>
      <c r="DA157" s="399">
        <v>0</v>
      </c>
      <c r="DB157" s="399">
        <v>0</v>
      </c>
      <c r="DC157" s="399">
        <v>4075.9171209256237</v>
      </c>
      <c r="DD157" s="399">
        <v>0</v>
      </c>
      <c r="DE157" s="399">
        <v>0</v>
      </c>
      <c r="DF157" s="399">
        <v>0</v>
      </c>
      <c r="DG157" s="399">
        <v>16.067797524552972</v>
      </c>
      <c r="DH157" s="399">
        <v>0</v>
      </c>
      <c r="DI157" s="399">
        <v>-324.04548712979431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-45.008737205437228</v>
      </c>
      <c r="DP157" s="399">
        <v>-6.7445687573090822</v>
      </c>
      <c r="DQ157" s="399">
        <v>0</v>
      </c>
      <c r="DR157" s="399">
        <v>0</v>
      </c>
      <c r="DS157" s="399"/>
      <c r="DT157" s="399"/>
      <c r="DU157" s="399"/>
      <c r="DV157" s="399">
        <v>219085.15707324952</v>
      </c>
      <c r="DW157" s="399">
        <v>0</v>
      </c>
      <c r="DX157" s="399">
        <v>0</v>
      </c>
      <c r="DY157" s="399">
        <v>-92375.708370000037</v>
      </c>
      <c r="DZ157" s="399">
        <v>4075.9943400000011</v>
      </c>
      <c r="EA157" s="399">
        <v>0</v>
      </c>
      <c r="EB157" s="399">
        <v>0</v>
      </c>
      <c r="EC157" s="399">
        <v>-96128.49966624417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216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954</v>
      </c>
      <c r="C158" s="399" t="s">
        <v>2360</v>
      </c>
      <c r="D158" s="399" t="s">
        <v>533</v>
      </c>
      <c r="E158" s="399" t="s">
        <v>888</v>
      </c>
      <c r="F158" s="399" t="s">
        <v>1237</v>
      </c>
      <c r="G158" s="399" t="s">
        <v>1237</v>
      </c>
      <c r="H158" s="399" t="s">
        <v>1237</v>
      </c>
      <c r="I158" s="399" t="s">
        <v>2327</v>
      </c>
      <c r="J158" s="399" t="s">
        <v>2353</v>
      </c>
      <c r="K158" s="789">
        <v>44562</v>
      </c>
      <c r="L158" s="399">
        <v>0</v>
      </c>
      <c r="M158" s="399">
        <v>0</v>
      </c>
      <c r="N158" s="399">
        <v>1705.3030000000001</v>
      </c>
      <c r="O158" s="399">
        <v>1705.3030000000001</v>
      </c>
      <c r="P158" s="399">
        <v>1705.3030000000001</v>
      </c>
      <c r="Q158" s="399">
        <v>1705.3030000000001</v>
      </c>
      <c r="R158" s="399"/>
      <c r="S158" s="399">
        <v>64.11</v>
      </c>
      <c r="T158" s="399">
        <v>215.17</v>
      </c>
      <c r="U158" s="399"/>
      <c r="V158" s="399">
        <v>476257.02184</v>
      </c>
      <c r="W158" s="399">
        <v>476257.02184</v>
      </c>
      <c r="X158" s="399">
        <v>518514.43018000002</v>
      </c>
      <c r="Y158" s="399">
        <v>0</v>
      </c>
      <c r="Z158" s="399">
        <v>90628.908321136085</v>
      </c>
      <c r="AA158" s="399">
        <v>0</v>
      </c>
      <c r="AB158" s="399">
        <v>0</v>
      </c>
      <c r="AC158" s="399">
        <v>0</v>
      </c>
      <c r="AD158" s="399">
        <v>0</v>
      </c>
      <c r="AE158" s="399">
        <v>0</v>
      </c>
      <c r="AF158" s="399">
        <v>359412.96444893518</v>
      </c>
      <c r="AG158" s="399">
        <v>7515.2267248892595</v>
      </c>
      <c r="AH158" s="399">
        <v>0</v>
      </c>
      <c r="AI158" s="399">
        <v>0</v>
      </c>
      <c r="AJ158" s="399">
        <v>0</v>
      </c>
      <c r="AK158" s="399">
        <v>0</v>
      </c>
      <c r="AL158" s="399">
        <v>16097.116191596786</v>
      </c>
      <c r="AM158" s="399"/>
      <c r="AN158" s="399">
        <v>1176.4418930464717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1416.8528380560419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360829.81728699122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518513.51799999992</v>
      </c>
      <c r="CJ158" s="399">
        <v>42256.466159999894</v>
      </c>
      <c r="CK158" s="399"/>
      <c r="CL158" s="399"/>
      <c r="CM158" s="399"/>
      <c r="CN158" s="399"/>
      <c r="CO158" s="399">
        <v>-4092.727199999998</v>
      </c>
      <c r="CP158" s="399">
        <v>46350.135540000017</v>
      </c>
      <c r="CQ158" s="399">
        <v>31</v>
      </c>
      <c r="CR158" s="399">
        <v>42258.57943713275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0</v>
      </c>
      <c r="DA158" s="399">
        <v>0</v>
      </c>
      <c r="DB158" s="399">
        <v>0</v>
      </c>
      <c r="DC158" s="399">
        <v>46349.257443941664</v>
      </c>
      <c r="DD158" s="399">
        <v>0</v>
      </c>
      <c r="DE158" s="399">
        <v>0</v>
      </c>
      <c r="DF158" s="399">
        <v>0</v>
      </c>
      <c r="DG158" s="399">
        <v>182.71482513695219</v>
      </c>
      <c r="DH158" s="399">
        <v>0</v>
      </c>
      <c r="DI158" s="399">
        <v>-3684.8805461273732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-511.8164786156849</v>
      </c>
      <c r="DP158" s="399">
        <v>-76.695807202746437</v>
      </c>
      <c r="DQ158" s="399">
        <v>0</v>
      </c>
      <c r="DR158" s="399">
        <v>0</v>
      </c>
      <c r="DS158" s="399"/>
      <c r="DT158" s="399"/>
      <c r="DU158" s="399"/>
      <c r="DV158" s="399">
        <v>0</v>
      </c>
      <c r="DW158" s="399">
        <v>0</v>
      </c>
      <c r="DX158" s="399">
        <v>0</v>
      </c>
      <c r="DY158" s="399">
        <v>-4092.7271999999939</v>
      </c>
      <c r="DZ158" s="399">
        <v>46350.135539999988</v>
      </c>
      <c r="EA158" s="399">
        <v>0</v>
      </c>
      <c r="EB158" s="399">
        <v>0</v>
      </c>
      <c r="EC158" s="399">
        <v>0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216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954</v>
      </c>
      <c r="C159" s="399" t="s">
        <v>2360</v>
      </c>
      <c r="D159" s="399" t="s">
        <v>533</v>
      </c>
      <c r="E159" s="399" t="s">
        <v>888</v>
      </c>
      <c r="F159" s="399" t="s">
        <v>1237</v>
      </c>
      <c r="G159" s="399" t="s">
        <v>1237</v>
      </c>
      <c r="H159" s="399" t="s">
        <v>1237</v>
      </c>
      <c r="I159" s="399" t="s">
        <v>1237</v>
      </c>
      <c r="J159" s="399" t="s">
        <v>2353</v>
      </c>
      <c r="K159" s="789">
        <v>44562</v>
      </c>
      <c r="L159" s="399">
        <v>5258</v>
      </c>
      <c r="M159" s="399">
        <v>5258</v>
      </c>
      <c r="N159" s="399">
        <v>0</v>
      </c>
      <c r="O159" s="399">
        <v>0</v>
      </c>
      <c r="P159" s="399">
        <v>0</v>
      </c>
      <c r="Q159" s="399">
        <v>0</v>
      </c>
      <c r="R159" s="399">
        <v>28.04</v>
      </c>
      <c r="S159" s="399"/>
      <c r="T159" s="399"/>
      <c r="U159" s="399">
        <v>147434.32</v>
      </c>
      <c r="V159" s="399"/>
      <c r="W159" s="399">
        <v>147434.32</v>
      </c>
      <c r="X159" s="399">
        <v>110733.48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58209.621740303606</v>
      </c>
      <c r="AE159" s="399">
        <v>89250.868875705899</v>
      </c>
      <c r="AF159" s="399"/>
      <c r="AG159" s="399"/>
      <c r="AH159" s="399"/>
      <c r="AI159" s="399">
        <v>0</v>
      </c>
      <c r="AJ159" s="399">
        <v>0</v>
      </c>
      <c r="AK159" s="399">
        <v>0</v>
      </c>
      <c r="AL159" s="399">
        <v>0</v>
      </c>
      <c r="AM159" s="399"/>
      <c r="AN159" s="399">
        <v>0</v>
      </c>
      <c r="AO159" s="399">
        <v>0</v>
      </c>
      <c r="AP159" s="399">
        <v>0</v>
      </c>
      <c r="AQ159" s="399">
        <v>0</v>
      </c>
      <c r="AR159" s="399">
        <v>0</v>
      </c>
      <c r="AS159" s="399"/>
      <c r="AT159" s="399"/>
      <c r="AU159" s="399">
        <v>0</v>
      </c>
      <c r="AV159" s="399">
        <v>0</v>
      </c>
      <c r="AW159" s="399">
        <v>0</v>
      </c>
      <c r="AX159" s="399"/>
      <c r="AY159" s="399"/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/>
      <c r="BG159" s="399">
        <v>0</v>
      </c>
      <c r="BH159" s="399">
        <v>0</v>
      </c>
      <c r="BI159" s="399">
        <v>0</v>
      </c>
      <c r="BJ159" s="399">
        <v>0</v>
      </c>
      <c r="BK159" s="399">
        <v>354503.35</v>
      </c>
      <c r="BL159" s="399">
        <v>14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0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110733.48</v>
      </c>
      <c r="CJ159" s="399">
        <v>-36700.870000000039</v>
      </c>
      <c r="CK159" s="399"/>
      <c r="CL159" s="399"/>
      <c r="CM159" s="399"/>
      <c r="CN159" s="399"/>
      <c r="CO159" s="399">
        <v>-36700.840000000004</v>
      </c>
      <c r="CP159" s="399">
        <v>0</v>
      </c>
      <c r="CQ159" s="399">
        <v>31</v>
      </c>
      <c r="CR159" s="399">
        <v>2422.8114696032935</v>
      </c>
      <c r="CS159" s="399">
        <v>0</v>
      </c>
      <c r="CT159" s="399">
        <v>0</v>
      </c>
      <c r="CU159" s="399">
        <v>0</v>
      </c>
      <c r="CV159" s="399">
        <v>0</v>
      </c>
      <c r="CW159" s="399"/>
      <c r="CX159" s="399"/>
      <c r="CY159" s="399"/>
      <c r="CZ159" s="399">
        <v>2422.8114696032935</v>
      </c>
      <c r="DA159" s="399">
        <v>0</v>
      </c>
      <c r="DB159" s="399">
        <v>0</v>
      </c>
      <c r="DC159" s="399"/>
      <c r="DD159" s="399"/>
      <c r="DE159" s="399">
        <v>0</v>
      </c>
      <c r="DF159" s="399">
        <v>0</v>
      </c>
      <c r="DG159" s="399">
        <v>0</v>
      </c>
      <c r="DH159" s="399">
        <v>0</v>
      </c>
      <c r="DI159" s="399">
        <v>0</v>
      </c>
      <c r="DJ159" s="399"/>
      <c r="DK159" s="399">
        <v>0</v>
      </c>
      <c r="DL159" s="399">
        <v>0</v>
      </c>
      <c r="DM159" s="399"/>
      <c r="DN159" s="399">
        <v>0</v>
      </c>
      <c r="DO159" s="399">
        <v>0</v>
      </c>
      <c r="DP159" s="399">
        <v>0</v>
      </c>
      <c r="DQ159" s="399">
        <v>0</v>
      </c>
      <c r="DR159" s="399">
        <v>0</v>
      </c>
      <c r="DS159" s="399"/>
      <c r="DT159" s="399"/>
      <c r="DU159" s="399">
        <v>89250.868875705899</v>
      </c>
      <c r="DV159" s="399"/>
      <c r="DW159" s="399">
        <v>0</v>
      </c>
      <c r="DX159" s="399">
        <v>0</v>
      </c>
      <c r="DY159" s="399">
        <v>-36700.840000000011</v>
      </c>
      <c r="DZ159" s="399"/>
      <c r="EA159" s="399">
        <v>0</v>
      </c>
      <c r="EB159" s="399"/>
      <c r="EC159" s="399">
        <v>-39160.809584474911</v>
      </c>
      <c r="ED159" s="399"/>
      <c r="EE159" s="399">
        <v>0</v>
      </c>
      <c r="EF159" s="399">
        <v>0</v>
      </c>
      <c r="EG159" s="399"/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/>
      <c r="EN159" s="399"/>
      <c r="EO159" s="399">
        <v>0</v>
      </c>
      <c r="EP159" s="399">
        <v>0</v>
      </c>
      <c r="EQ159" s="399"/>
      <c r="ER159" s="399">
        <v>0</v>
      </c>
      <c r="ES159" s="399"/>
      <c r="ET159" s="399">
        <v>0</v>
      </c>
      <c r="EU159" s="399"/>
      <c r="EV159" s="399">
        <v>216</v>
      </c>
      <c r="EW159" s="399"/>
      <c r="EX159" s="399"/>
      <c r="EY159" s="399"/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954</v>
      </c>
      <c r="C160" s="399" t="s">
        <v>2352</v>
      </c>
      <c r="D160" s="399" t="s">
        <v>1824</v>
      </c>
      <c r="E160" s="399" t="s">
        <v>916</v>
      </c>
      <c r="F160" s="399" t="s">
        <v>1237</v>
      </c>
      <c r="G160" s="399" t="s">
        <v>1237</v>
      </c>
      <c r="H160" s="399" t="s">
        <v>1237</v>
      </c>
      <c r="I160" s="399" t="s">
        <v>1237</v>
      </c>
      <c r="J160" s="399" t="s">
        <v>2353</v>
      </c>
      <c r="K160" s="789">
        <v>44562</v>
      </c>
      <c r="L160" s="399">
        <v>0</v>
      </c>
      <c r="M160" s="399">
        <v>0</v>
      </c>
      <c r="N160" s="399">
        <v>195.72300000000001</v>
      </c>
      <c r="O160" s="399">
        <v>195.72300000000001</v>
      </c>
      <c r="P160" s="399">
        <v>195.72300000000001</v>
      </c>
      <c r="Q160" s="399">
        <v>195.72300000000001</v>
      </c>
      <c r="R160" s="399"/>
      <c r="S160" s="399">
        <v>415.98</v>
      </c>
      <c r="T160" s="399">
        <v>215.17</v>
      </c>
      <c r="U160" s="399"/>
      <c r="V160" s="399">
        <v>123530.57145000002</v>
      </c>
      <c r="W160" s="399">
        <v>123530.57145000002</v>
      </c>
      <c r="X160" s="399">
        <v>107361.89442</v>
      </c>
      <c r="Y160" s="399">
        <v>0</v>
      </c>
      <c r="Z160" s="399">
        <v>11956.052238788603</v>
      </c>
      <c r="AA160" s="399">
        <v>0</v>
      </c>
      <c r="AB160" s="399">
        <v>0</v>
      </c>
      <c r="AC160" s="399">
        <v>0</v>
      </c>
      <c r="AD160" s="399">
        <v>17481.112756458369</v>
      </c>
      <c r="AE160" s="399">
        <v>49480.827885942148</v>
      </c>
      <c r="AF160" s="399">
        <v>41250.958709882609</v>
      </c>
      <c r="AG160" s="399">
        <v>862.54625733696628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1847.5167594075058</v>
      </c>
      <c r="AM160" s="399"/>
      <c r="AN160" s="399">
        <v>230.4437667510816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421.18308460329786</v>
      </c>
      <c r="BH160" s="399">
        <v>0</v>
      </c>
      <c r="BI160" s="399">
        <v>0</v>
      </c>
      <c r="BJ160" s="399">
        <v>0</v>
      </c>
      <c r="BK160" s="399">
        <v>44622.89</v>
      </c>
      <c r="BL160" s="399">
        <v>444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41672.141794485906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107360.2488</v>
      </c>
      <c r="CJ160" s="399">
        <v>-16170.352650000001</v>
      </c>
      <c r="CK160" s="399"/>
      <c r="CL160" s="399"/>
      <c r="CM160" s="399"/>
      <c r="CN160" s="399"/>
      <c r="CO160" s="399">
        <v>-21488.428170000007</v>
      </c>
      <c r="CP160" s="399">
        <v>5319.7511400000021</v>
      </c>
      <c r="CQ160" s="399">
        <v>31</v>
      </c>
      <c r="CR160" s="399">
        <v>5541.6802235124487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727.6020565248873</v>
      </c>
      <c r="DA160" s="399">
        <v>0</v>
      </c>
      <c r="DB160" s="399">
        <v>0</v>
      </c>
      <c r="DC160" s="399">
        <v>5319.6503581478464</v>
      </c>
      <c r="DD160" s="399">
        <v>0</v>
      </c>
      <c r="DE160" s="399">
        <v>0</v>
      </c>
      <c r="DF160" s="399">
        <v>0</v>
      </c>
      <c r="DG160" s="399">
        <v>54.315022412291626</v>
      </c>
      <c r="DH160" s="399">
        <v>0</v>
      </c>
      <c r="DI160" s="399">
        <v>-486.12109667133336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-58.742790368689839</v>
      </c>
      <c r="DP160" s="399">
        <v>-15.023326532555217</v>
      </c>
      <c r="DQ160" s="399">
        <v>0</v>
      </c>
      <c r="DR160" s="399">
        <v>0</v>
      </c>
      <c r="DS160" s="399"/>
      <c r="DT160" s="399"/>
      <c r="DU160" s="399"/>
      <c r="DV160" s="399">
        <v>49480.827885942148</v>
      </c>
      <c r="DW160" s="399">
        <v>0</v>
      </c>
      <c r="DX160" s="399">
        <v>0</v>
      </c>
      <c r="DY160" s="399">
        <v>-21488.428170000007</v>
      </c>
      <c r="DZ160" s="399">
        <v>5319.7511400000003</v>
      </c>
      <c r="EA160" s="399">
        <v>0</v>
      </c>
      <c r="EB160" s="399">
        <v>0</v>
      </c>
      <c r="EC160" s="399">
        <v>-21710.816973917448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216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2355</v>
      </c>
      <c r="C161" s="399" t="s">
        <v>2352</v>
      </c>
      <c r="D161" s="399" t="s">
        <v>1824</v>
      </c>
      <c r="E161" s="399" t="s">
        <v>916</v>
      </c>
      <c r="F161" s="399" t="s">
        <v>1237</v>
      </c>
      <c r="G161" s="399" t="s">
        <v>1237</v>
      </c>
      <c r="H161" s="399" t="s">
        <v>1237</v>
      </c>
      <c r="I161" s="399" t="s">
        <v>1237</v>
      </c>
      <c r="J161" s="399" t="s">
        <v>2353</v>
      </c>
      <c r="K161" s="789">
        <v>44562</v>
      </c>
      <c r="L161" s="399">
        <v>0</v>
      </c>
      <c r="M161" s="399">
        <v>0</v>
      </c>
      <c r="N161" s="399">
        <v>2.5579999999999998</v>
      </c>
      <c r="O161" s="399">
        <v>2.5579999999999998</v>
      </c>
      <c r="P161" s="399">
        <v>2.5579999999999998</v>
      </c>
      <c r="Q161" s="399">
        <v>2.5579999999999998</v>
      </c>
      <c r="R161" s="399"/>
      <c r="S161" s="399">
        <v>415.98</v>
      </c>
      <c r="T161" s="399">
        <v>215.17</v>
      </c>
      <c r="U161" s="399"/>
      <c r="V161" s="399">
        <v>1614.4816999999998</v>
      </c>
      <c r="W161" s="399">
        <v>1614.4816999999998</v>
      </c>
      <c r="X161" s="399">
        <v>1403.1653200000001</v>
      </c>
      <c r="Y161" s="399">
        <v>0</v>
      </c>
      <c r="Z161" s="399">
        <v>156.25951792493086</v>
      </c>
      <c r="AA161" s="399">
        <v>0</v>
      </c>
      <c r="AB161" s="399">
        <v>0</v>
      </c>
      <c r="AC161" s="399">
        <v>0</v>
      </c>
      <c r="AD161" s="399">
        <v>228.46924700224554</v>
      </c>
      <c r="AE161" s="399">
        <v>646.68923801617598</v>
      </c>
      <c r="AF161" s="399">
        <v>539.12903634156282</v>
      </c>
      <c r="AG161" s="399">
        <v>11.27304060467068</v>
      </c>
      <c r="AH161" s="399">
        <v>0</v>
      </c>
      <c r="AI161" s="399">
        <v>0</v>
      </c>
      <c r="AJ161" s="399">
        <v>0</v>
      </c>
      <c r="AK161" s="399">
        <v>0</v>
      </c>
      <c r="AL161" s="399">
        <v>24.146103782204438</v>
      </c>
      <c r="AM161" s="399"/>
      <c r="AN161" s="399">
        <v>3.0117827508737687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5.5046485615652516</v>
      </c>
      <c r="BH161" s="399">
        <v>0</v>
      </c>
      <c r="BI161" s="399">
        <v>0</v>
      </c>
      <c r="BJ161" s="399">
        <v>0</v>
      </c>
      <c r="BK161" s="399">
        <v>1431.43</v>
      </c>
      <c r="BL161" s="399">
        <v>8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544.63368490312803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1404.2624000000001</v>
      </c>
      <c r="CJ161" s="399">
        <v>-210.24929999999972</v>
      </c>
      <c r="CK161" s="399"/>
      <c r="CL161" s="399"/>
      <c r="CM161" s="399"/>
      <c r="CN161" s="399"/>
      <c r="CO161" s="399">
        <v>-280.84282000000002</v>
      </c>
      <c r="CP161" s="399">
        <v>69.526440000000008</v>
      </c>
      <c r="CQ161" s="399">
        <v>31</v>
      </c>
      <c r="CR161" s="399">
        <v>72.426940174352694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9.5093885776871332</v>
      </c>
      <c r="DA161" s="399">
        <v>0</v>
      </c>
      <c r="DB161" s="399">
        <v>0</v>
      </c>
      <c r="DC161" s="399">
        <v>69.525122832483589</v>
      </c>
      <c r="DD161" s="399">
        <v>0</v>
      </c>
      <c r="DE161" s="399">
        <v>0</v>
      </c>
      <c r="DF161" s="399">
        <v>0</v>
      </c>
      <c r="DG161" s="399">
        <v>0.7098697001918115</v>
      </c>
      <c r="DH161" s="399">
        <v>0</v>
      </c>
      <c r="DI161" s="399">
        <v>-6.353355330161861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-0.76773837394229716</v>
      </c>
      <c r="DP161" s="399">
        <v>-0.19634723190568426</v>
      </c>
      <c r="DQ161" s="399">
        <v>0</v>
      </c>
      <c r="DR161" s="399">
        <v>0</v>
      </c>
      <c r="DS161" s="399"/>
      <c r="DT161" s="399"/>
      <c r="DU161" s="399"/>
      <c r="DV161" s="399">
        <v>646.68923801617598</v>
      </c>
      <c r="DW161" s="399">
        <v>0</v>
      </c>
      <c r="DX161" s="399">
        <v>0</v>
      </c>
      <c r="DY161" s="399">
        <v>-280.84281999999996</v>
      </c>
      <c r="DZ161" s="399">
        <v>69.52643999999998</v>
      </c>
      <c r="EA161" s="399">
        <v>0</v>
      </c>
      <c r="EB161" s="399">
        <v>0</v>
      </c>
      <c r="EC161" s="399">
        <v>-283.74932848607898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216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954</v>
      </c>
      <c r="C162" s="399" t="s">
        <v>2360</v>
      </c>
      <c r="D162" s="399" t="s">
        <v>533</v>
      </c>
      <c r="E162" s="399" t="s">
        <v>916</v>
      </c>
      <c r="F162" s="399" t="s">
        <v>1237</v>
      </c>
      <c r="G162" s="399" t="s">
        <v>1237</v>
      </c>
      <c r="H162" s="399" t="s">
        <v>1237</v>
      </c>
      <c r="I162" s="399" t="s">
        <v>891</v>
      </c>
      <c r="J162" s="399" t="s">
        <v>2353</v>
      </c>
      <c r="K162" s="789">
        <v>44562</v>
      </c>
      <c r="L162" s="399">
        <v>0</v>
      </c>
      <c r="M162" s="399">
        <v>0</v>
      </c>
      <c r="N162" s="399">
        <v>3.2650000000000001</v>
      </c>
      <c r="O162" s="399">
        <v>3.2650000000000001</v>
      </c>
      <c r="P162" s="399">
        <v>3.2650000000000001</v>
      </c>
      <c r="Q162" s="399">
        <v>3.2650000000000001</v>
      </c>
      <c r="R162" s="399"/>
      <c r="S162" s="399">
        <v>2184.0300000000002</v>
      </c>
      <c r="T162" s="399">
        <v>215.17</v>
      </c>
      <c r="U162" s="399"/>
      <c r="V162" s="399">
        <v>7833.3880000000008</v>
      </c>
      <c r="W162" s="399">
        <v>7833.3880000000008</v>
      </c>
      <c r="X162" s="399">
        <v>5910.92335</v>
      </c>
      <c r="Y162" s="399">
        <v>0</v>
      </c>
      <c r="Z162" s="399">
        <v>173.51953621644324</v>
      </c>
      <c r="AA162" s="399">
        <v>0</v>
      </c>
      <c r="AB162" s="399">
        <v>0</v>
      </c>
      <c r="AC162" s="399">
        <v>0</v>
      </c>
      <c r="AD162" s="399">
        <v>2151.6162789900086</v>
      </c>
      <c r="AE162" s="399">
        <v>4769.9301684026041</v>
      </c>
      <c r="AF162" s="399">
        <v>688.1377262139182</v>
      </c>
      <c r="AG162" s="399">
        <v>14.388771530199286</v>
      </c>
      <c r="AH162" s="399">
        <v>0</v>
      </c>
      <c r="AI162" s="399">
        <v>0</v>
      </c>
      <c r="AJ162" s="399">
        <v>0</v>
      </c>
      <c r="AK162" s="399">
        <v>0</v>
      </c>
      <c r="AL162" s="399">
        <v>30.819792356879397</v>
      </c>
      <c r="AM162" s="399"/>
      <c r="AN162" s="399">
        <v>2.2524341895819862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2.7127287738618748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690.85045498778004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5919.9753000000001</v>
      </c>
      <c r="CJ162" s="399">
        <v>-1913.4427000000014</v>
      </c>
      <c r="CK162" s="399"/>
      <c r="CL162" s="399"/>
      <c r="CM162" s="399"/>
      <c r="CN162" s="399"/>
      <c r="CO162" s="399">
        <v>-2011.2073500000008</v>
      </c>
      <c r="CP162" s="399">
        <v>88.742700000000028</v>
      </c>
      <c r="CQ162" s="399">
        <v>31</v>
      </c>
      <c r="CR162" s="399">
        <v>170.46390653630215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89.55496433527469</v>
      </c>
      <c r="DA162" s="399">
        <v>0</v>
      </c>
      <c r="DB162" s="399">
        <v>0</v>
      </c>
      <c r="DC162" s="399">
        <v>88.741018783447657</v>
      </c>
      <c r="DD162" s="399">
        <v>0</v>
      </c>
      <c r="DE162" s="399">
        <v>0</v>
      </c>
      <c r="DF162" s="399">
        <v>0</v>
      </c>
      <c r="DG162" s="399">
        <v>0.34982868385978838</v>
      </c>
      <c r="DH162" s="399">
        <v>0</v>
      </c>
      <c r="DI162" s="399">
        <v>-7.0551303686827964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-0.97993189637279343</v>
      </c>
      <c r="DP162" s="399">
        <v>-0.1468430012243962</v>
      </c>
      <c r="DQ162" s="399">
        <v>0</v>
      </c>
      <c r="DR162" s="399">
        <v>0</v>
      </c>
      <c r="DS162" s="399"/>
      <c r="DT162" s="399"/>
      <c r="DU162" s="399"/>
      <c r="DV162" s="399">
        <v>4769.9301684026041</v>
      </c>
      <c r="DW162" s="399">
        <v>0</v>
      </c>
      <c r="DX162" s="399">
        <v>0</v>
      </c>
      <c r="DY162" s="399">
        <v>-2011.2073500000006</v>
      </c>
      <c r="DZ162" s="399">
        <v>88.742700000000013</v>
      </c>
      <c r="EA162" s="399">
        <v>0</v>
      </c>
      <c r="EB162" s="399">
        <v>0</v>
      </c>
      <c r="EC162" s="399">
        <v>-2092.9132613397119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216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954</v>
      </c>
      <c r="C163" s="399" t="s">
        <v>2360</v>
      </c>
      <c r="D163" s="399" t="s">
        <v>533</v>
      </c>
      <c r="E163" s="399" t="s">
        <v>916</v>
      </c>
      <c r="F163" s="399" t="s">
        <v>1237</v>
      </c>
      <c r="G163" s="399" t="s">
        <v>1237</v>
      </c>
      <c r="H163" s="399" t="s">
        <v>1237</v>
      </c>
      <c r="I163" s="399" t="s">
        <v>2327</v>
      </c>
      <c r="J163" s="399" t="s">
        <v>2353</v>
      </c>
      <c r="K163" s="789">
        <v>44562</v>
      </c>
      <c r="L163" s="399">
        <v>0</v>
      </c>
      <c r="M163" s="399">
        <v>0</v>
      </c>
      <c r="N163" s="399">
        <v>35.694000000000003</v>
      </c>
      <c r="O163" s="399">
        <v>35.694000000000003</v>
      </c>
      <c r="P163" s="399">
        <v>35.694000000000003</v>
      </c>
      <c r="Q163" s="399">
        <v>35.694000000000003</v>
      </c>
      <c r="R163" s="399"/>
      <c r="S163" s="399">
        <v>64.11</v>
      </c>
      <c r="T163" s="399">
        <v>215.17</v>
      </c>
      <c r="U163" s="399"/>
      <c r="V163" s="399">
        <v>9968.62032</v>
      </c>
      <c r="W163" s="399">
        <v>9968.62032</v>
      </c>
      <c r="X163" s="399">
        <v>10853.11764</v>
      </c>
      <c r="Y163" s="399">
        <v>0</v>
      </c>
      <c r="Z163" s="399">
        <v>1896.9697781653065</v>
      </c>
      <c r="AA163" s="399">
        <v>0</v>
      </c>
      <c r="AB163" s="399">
        <v>0</v>
      </c>
      <c r="AC163" s="399">
        <v>0</v>
      </c>
      <c r="AD163" s="399">
        <v>0</v>
      </c>
      <c r="AE163" s="399">
        <v>0</v>
      </c>
      <c r="AF163" s="399">
        <v>7522.9366001468907</v>
      </c>
      <c r="AG163" s="399">
        <v>157.30254548206227</v>
      </c>
      <c r="AH163" s="399">
        <v>0</v>
      </c>
      <c r="AI163" s="399">
        <v>0</v>
      </c>
      <c r="AJ163" s="399">
        <v>0</v>
      </c>
      <c r="AK163" s="399">
        <v>0</v>
      </c>
      <c r="AL163" s="399">
        <v>336.93159828069014</v>
      </c>
      <c r="AM163" s="399"/>
      <c r="AN163" s="399">
        <v>24.624314230609318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29.656398423958887</v>
      </c>
      <c r="BH163" s="399">
        <v>0</v>
      </c>
      <c r="BI163" s="399">
        <v>0</v>
      </c>
      <c r="BJ163" s="399">
        <v>0</v>
      </c>
      <c r="BK163" s="399">
        <v>0</v>
      </c>
      <c r="BL163" s="399">
        <v>0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7552.5929985708499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10851.901399999999</v>
      </c>
      <c r="CJ163" s="399">
        <v>883.25107999999818</v>
      </c>
      <c r="CK163" s="399"/>
      <c r="CL163" s="399"/>
      <c r="CM163" s="399"/>
      <c r="CN163" s="399"/>
      <c r="CO163" s="399">
        <v>-85.665599999999955</v>
      </c>
      <c r="CP163" s="399">
        <v>970.16292000000033</v>
      </c>
      <c r="CQ163" s="399">
        <v>31</v>
      </c>
      <c r="CR163" s="399">
        <v>884.52183244210755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0</v>
      </c>
      <c r="DA163" s="399">
        <v>0</v>
      </c>
      <c r="DB163" s="399">
        <v>0</v>
      </c>
      <c r="DC163" s="399">
        <v>970.14454041543013</v>
      </c>
      <c r="DD163" s="399">
        <v>0</v>
      </c>
      <c r="DE163" s="399">
        <v>0</v>
      </c>
      <c r="DF163" s="399">
        <v>0</v>
      </c>
      <c r="DG163" s="399">
        <v>3.8244364599360772</v>
      </c>
      <c r="DH163" s="399">
        <v>0</v>
      </c>
      <c r="DI163" s="399">
        <v>-77.12888924341928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-10.712921626073637</v>
      </c>
      <c r="DP163" s="399">
        <v>-1.6053335637683332</v>
      </c>
      <c r="DQ163" s="399">
        <v>0</v>
      </c>
      <c r="DR163" s="399">
        <v>0</v>
      </c>
      <c r="DS163" s="399"/>
      <c r="DT163" s="399"/>
      <c r="DU163" s="399"/>
      <c r="DV163" s="399">
        <v>0</v>
      </c>
      <c r="DW163" s="399">
        <v>0</v>
      </c>
      <c r="DX163" s="399">
        <v>0</v>
      </c>
      <c r="DY163" s="399">
        <v>-85.665599999999813</v>
      </c>
      <c r="DZ163" s="399">
        <v>970.16291999999976</v>
      </c>
      <c r="EA163" s="399">
        <v>0</v>
      </c>
      <c r="EB163" s="399">
        <v>0</v>
      </c>
      <c r="EC163" s="399">
        <v>0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216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954</v>
      </c>
      <c r="C164" s="399" t="s">
        <v>2360</v>
      </c>
      <c r="D164" s="399" t="s">
        <v>533</v>
      </c>
      <c r="E164" s="399" t="s">
        <v>916</v>
      </c>
      <c r="F164" s="399" t="s">
        <v>1237</v>
      </c>
      <c r="G164" s="399" t="s">
        <v>1237</v>
      </c>
      <c r="H164" s="399" t="s">
        <v>1237</v>
      </c>
      <c r="I164" s="399" t="s">
        <v>1237</v>
      </c>
      <c r="J164" s="399" t="s">
        <v>2353</v>
      </c>
      <c r="K164" s="789">
        <v>44562</v>
      </c>
      <c r="L164" s="399">
        <v>115</v>
      </c>
      <c r="M164" s="399">
        <v>115</v>
      </c>
      <c r="N164" s="399">
        <v>0</v>
      </c>
      <c r="O164" s="399">
        <v>0</v>
      </c>
      <c r="P164" s="399">
        <v>0</v>
      </c>
      <c r="Q164" s="399">
        <v>0</v>
      </c>
      <c r="R164" s="399">
        <v>28.04</v>
      </c>
      <c r="S164" s="399"/>
      <c r="T164" s="399"/>
      <c r="U164" s="399">
        <v>3224.6</v>
      </c>
      <c r="V164" s="399"/>
      <c r="W164" s="399">
        <v>3224.6</v>
      </c>
      <c r="X164" s="399">
        <v>2421.8999999999996</v>
      </c>
      <c r="Y164" s="399">
        <v>0</v>
      </c>
      <c r="Z164" s="399">
        <v>0</v>
      </c>
      <c r="AA164" s="399">
        <v>0</v>
      </c>
      <c r="AB164" s="399">
        <v>0</v>
      </c>
      <c r="AC164" s="399">
        <v>0</v>
      </c>
      <c r="AD164" s="399">
        <v>1273.1279003679945</v>
      </c>
      <c r="AE164" s="399">
        <v>1952.0444885329359</v>
      </c>
      <c r="AF164" s="399"/>
      <c r="AG164" s="399"/>
      <c r="AH164" s="399"/>
      <c r="AI164" s="399">
        <v>0</v>
      </c>
      <c r="AJ164" s="399">
        <v>0</v>
      </c>
      <c r="AK164" s="399">
        <v>0</v>
      </c>
      <c r="AL164" s="399">
        <v>0</v>
      </c>
      <c r="AM164" s="399"/>
      <c r="AN164" s="399">
        <v>0</v>
      </c>
      <c r="AO164" s="399">
        <v>0</v>
      </c>
      <c r="AP164" s="399">
        <v>0</v>
      </c>
      <c r="AQ164" s="399">
        <v>0</v>
      </c>
      <c r="AR164" s="399">
        <v>0</v>
      </c>
      <c r="AS164" s="399"/>
      <c r="AT164" s="399"/>
      <c r="AU164" s="399">
        <v>0</v>
      </c>
      <c r="AV164" s="399">
        <v>0</v>
      </c>
      <c r="AW164" s="399">
        <v>0</v>
      </c>
      <c r="AX164" s="399"/>
      <c r="AY164" s="399"/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/>
      <c r="BG164" s="399">
        <v>0</v>
      </c>
      <c r="BH164" s="399">
        <v>0</v>
      </c>
      <c r="BI164" s="399">
        <v>0</v>
      </c>
      <c r="BJ164" s="399">
        <v>0</v>
      </c>
      <c r="BK164" s="399">
        <v>7520.64</v>
      </c>
      <c r="BL164" s="399">
        <v>1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0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2421.8999999999996</v>
      </c>
      <c r="CJ164" s="399">
        <v>-802.73000000000093</v>
      </c>
      <c r="CK164" s="399"/>
      <c r="CL164" s="399"/>
      <c r="CM164" s="399"/>
      <c r="CN164" s="399"/>
      <c r="CO164" s="399">
        <v>-802.7</v>
      </c>
      <c r="CP164" s="399">
        <v>0</v>
      </c>
      <c r="CQ164" s="399">
        <v>31</v>
      </c>
      <c r="CR164" s="399">
        <v>52.990361164773503</v>
      </c>
      <c r="CS164" s="399">
        <v>0</v>
      </c>
      <c r="CT164" s="399">
        <v>0</v>
      </c>
      <c r="CU164" s="399">
        <v>0</v>
      </c>
      <c r="CV164" s="399">
        <v>0</v>
      </c>
      <c r="CW164" s="399"/>
      <c r="CX164" s="399"/>
      <c r="CY164" s="399"/>
      <c r="CZ164" s="399">
        <v>52.990361164773503</v>
      </c>
      <c r="DA164" s="399">
        <v>0</v>
      </c>
      <c r="DB164" s="399">
        <v>0</v>
      </c>
      <c r="DC164" s="399"/>
      <c r="DD164" s="399"/>
      <c r="DE164" s="399">
        <v>0</v>
      </c>
      <c r="DF164" s="399">
        <v>0</v>
      </c>
      <c r="DG164" s="399">
        <v>0</v>
      </c>
      <c r="DH164" s="399">
        <v>0</v>
      </c>
      <c r="DI164" s="399">
        <v>0</v>
      </c>
      <c r="DJ164" s="399"/>
      <c r="DK164" s="399">
        <v>0</v>
      </c>
      <c r="DL164" s="399">
        <v>0</v>
      </c>
      <c r="DM164" s="399"/>
      <c r="DN164" s="399">
        <v>0</v>
      </c>
      <c r="DO164" s="399">
        <v>0</v>
      </c>
      <c r="DP164" s="399">
        <v>0</v>
      </c>
      <c r="DQ164" s="399">
        <v>0</v>
      </c>
      <c r="DR164" s="399">
        <v>0</v>
      </c>
      <c r="DS164" s="399"/>
      <c r="DT164" s="399"/>
      <c r="DU164" s="399">
        <v>1952.0444885329359</v>
      </c>
      <c r="DV164" s="399"/>
      <c r="DW164" s="399">
        <v>0</v>
      </c>
      <c r="DX164" s="399">
        <v>0</v>
      </c>
      <c r="DY164" s="399">
        <v>-802.70000000000027</v>
      </c>
      <c r="DZ164" s="399"/>
      <c r="EA164" s="399">
        <v>0</v>
      </c>
      <c r="EB164" s="399"/>
      <c r="EC164" s="399">
        <v>-856.50306242195006</v>
      </c>
      <c r="ED164" s="399"/>
      <c r="EE164" s="399">
        <v>0</v>
      </c>
      <c r="EF164" s="399">
        <v>0</v>
      </c>
      <c r="EG164" s="399"/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/>
      <c r="EN164" s="399"/>
      <c r="EO164" s="399">
        <v>0</v>
      </c>
      <c r="EP164" s="399">
        <v>0</v>
      </c>
      <c r="EQ164" s="399"/>
      <c r="ER164" s="399">
        <v>0</v>
      </c>
      <c r="ES164" s="399"/>
      <c r="ET164" s="399">
        <v>0</v>
      </c>
      <c r="EU164" s="399"/>
      <c r="EV164" s="399">
        <v>216</v>
      </c>
      <c r="EW164" s="399"/>
      <c r="EX164" s="399"/>
      <c r="EY164" s="399"/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954</v>
      </c>
      <c r="C165" s="399" t="s">
        <v>2361</v>
      </c>
      <c r="D165" s="399" t="s">
        <v>1824</v>
      </c>
      <c r="E165" s="399" t="s">
        <v>916</v>
      </c>
      <c r="F165" s="399" t="s">
        <v>1237</v>
      </c>
      <c r="G165" s="399" t="s">
        <v>1237</v>
      </c>
      <c r="H165" s="399" t="s">
        <v>1237</v>
      </c>
      <c r="I165" s="399" t="s">
        <v>891</v>
      </c>
      <c r="J165" s="399" t="s">
        <v>2353</v>
      </c>
      <c r="K165" s="789">
        <v>44562</v>
      </c>
      <c r="L165" s="399">
        <v>0</v>
      </c>
      <c r="M165" s="399">
        <v>0</v>
      </c>
      <c r="N165" s="399">
        <v>7.4999999999999997E-2</v>
      </c>
      <c r="O165" s="399">
        <v>7.4999999999999997E-2</v>
      </c>
      <c r="P165" s="399">
        <v>7.4999999999999997E-2</v>
      </c>
      <c r="Q165" s="399">
        <v>7.4999999999999997E-2</v>
      </c>
      <c r="R165" s="399"/>
      <c r="S165" s="399">
        <v>1254.27</v>
      </c>
      <c r="T165" s="399">
        <v>215.17</v>
      </c>
      <c r="U165" s="399"/>
      <c r="V165" s="399">
        <v>110.208</v>
      </c>
      <c r="W165" s="399">
        <v>110.208</v>
      </c>
      <c r="X165" s="399">
        <v>84.312749999999994</v>
      </c>
      <c r="Y165" s="399">
        <v>0</v>
      </c>
      <c r="Z165" s="399">
        <v>4.5814948570640404</v>
      </c>
      <c r="AA165" s="399">
        <v>0</v>
      </c>
      <c r="AB165" s="399">
        <v>0</v>
      </c>
      <c r="AC165" s="399">
        <v>0</v>
      </c>
      <c r="AD165" s="399">
        <v>23.116184877172351</v>
      </c>
      <c r="AE165" s="399">
        <v>65.414695527430268</v>
      </c>
      <c r="AF165" s="399">
        <v>15.807145318849575</v>
      </c>
      <c r="AG165" s="399">
        <v>0.33052308262326074</v>
      </c>
      <c r="AH165" s="399">
        <v>0</v>
      </c>
      <c r="AI165" s="399">
        <v>0</v>
      </c>
      <c r="AJ165" s="399">
        <v>0</v>
      </c>
      <c r="AK165" s="399">
        <v>0</v>
      </c>
      <c r="AL165" s="399">
        <v>0.70795847680427404</v>
      </c>
      <c r="AM165" s="399"/>
      <c r="AN165" s="399">
        <v>8.8304810913030746E-2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0.16139509074174899</v>
      </c>
      <c r="BH165" s="399">
        <v>0</v>
      </c>
      <c r="BI165" s="399">
        <v>0</v>
      </c>
      <c r="BJ165" s="399">
        <v>0</v>
      </c>
      <c r="BK165" s="399">
        <v>0</v>
      </c>
      <c r="BL165" s="399">
        <v>0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15.968540409591323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89.933600000000013</v>
      </c>
      <c r="CJ165" s="399">
        <v>-20.304400000000001</v>
      </c>
      <c r="CK165" s="399"/>
      <c r="CL165" s="399"/>
      <c r="CM165" s="399"/>
      <c r="CN165" s="399"/>
      <c r="CO165" s="399">
        <v>-27.933749999999993</v>
      </c>
      <c r="CP165" s="399">
        <v>2.0385000000000004</v>
      </c>
      <c r="CQ165" s="399">
        <v>31</v>
      </c>
      <c r="CR165" s="399">
        <v>2.8068748926950278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0.96214605385612373</v>
      </c>
      <c r="DA165" s="399">
        <v>0</v>
      </c>
      <c r="DB165" s="399">
        <v>0</v>
      </c>
      <c r="DC165" s="399">
        <v>2.0384613809367735</v>
      </c>
      <c r="DD165" s="399">
        <v>0</v>
      </c>
      <c r="DE165" s="399">
        <v>0</v>
      </c>
      <c r="DF165" s="399">
        <v>0</v>
      </c>
      <c r="DG165" s="399">
        <v>2.0813224204216524E-2</v>
      </c>
      <c r="DH165" s="399">
        <v>0</v>
      </c>
      <c r="DI165" s="399">
        <v>-0.18627898739724014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-2.2509921049911008E-2</v>
      </c>
      <c r="DP165" s="399">
        <v>-5.7568578549360011E-3</v>
      </c>
      <c r="DQ165" s="399">
        <v>0</v>
      </c>
      <c r="DR165" s="399">
        <v>0</v>
      </c>
      <c r="DS165" s="399"/>
      <c r="DT165" s="399"/>
      <c r="DU165" s="399"/>
      <c r="DV165" s="399">
        <v>65.414695527430268</v>
      </c>
      <c r="DW165" s="399">
        <v>0</v>
      </c>
      <c r="DX165" s="399">
        <v>0</v>
      </c>
      <c r="DY165" s="399">
        <v>-27.933750000000003</v>
      </c>
      <c r="DZ165" s="399">
        <v>2.0385000000000026</v>
      </c>
      <c r="EA165" s="399">
        <v>0</v>
      </c>
      <c r="EB165" s="399">
        <v>0</v>
      </c>
      <c r="EC165" s="399">
        <v>-28.702156828787921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216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954</v>
      </c>
      <c r="C166" s="399" t="s">
        <v>2361</v>
      </c>
      <c r="D166" s="399" t="s">
        <v>1824</v>
      </c>
      <c r="E166" s="399" t="s">
        <v>916</v>
      </c>
      <c r="F166" s="399" t="s">
        <v>1237</v>
      </c>
      <c r="G166" s="399" t="s">
        <v>1237</v>
      </c>
      <c r="H166" s="399" t="s">
        <v>1237</v>
      </c>
      <c r="I166" s="399" t="s">
        <v>2327</v>
      </c>
      <c r="J166" s="399" t="s">
        <v>2353</v>
      </c>
      <c r="K166" s="789">
        <v>44562</v>
      </c>
      <c r="L166" s="399">
        <v>0</v>
      </c>
      <c r="M166" s="399">
        <v>0</v>
      </c>
      <c r="N166" s="399">
        <v>0.86099999999999999</v>
      </c>
      <c r="O166" s="399">
        <v>0.86099999999999999</v>
      </c>
      <c r="P166" s="399">
        <v>0.86099999999999999</v>
      </c>
      <c r="Q166" s="399">
        <v>0.86099999999999999</v>
      </c>
      <c r="R166" s="399"/>
      <c r="S166" s="399">
        <v>309.91000000000003</v>
      </c>
      <c r="T166" s="399">
        <v>215.17</v>
      </c>
      <c r="U166" s="399"/>
      <c r="V166" s="399">
        <v>452.09388000000001</v>
      </c>
      <c r="W166" s="399">
        <v>452.09388000000001</v>
      </c>
      <c r="X166" s="399">
        <v>409.57769999999994</v>
      </c>
      <c r="Y166" s="399">
        <v>0</v>
      </c>
      <c r="Z166" s="399">
        <v>52.595560959095181</v>
      </c>
      <c r="AA166" s="399">
        <v>0</v>
      </c>
      <c r="AB166" s="399">
        <v>0</v>
      </c>
      <c r="AC166" s="399">
        <v>0</v>
      </c>
      <c r="AD166" s="399">
        <v>53.051953218628455</v>
      </c>
      <c r="AE166" s="399">
        <v>150.19228331992221</v>
      </c>
      <c r="AF166" s="399">
        <v>181.46602826039313</v>
      </c>
      <c r="AG166" s="399">
        <v>3.7944049885150335</v>
      </c>
      <c r="AH166" s="399">
        <v>0</v>
      </c>
      <c r="AI166" s="399">
        <v>0</v>
      </c>
      <c r="AJ166" s="399">
        <v>0</v>
      </c>
      <c r="AK166" s="399">
        <v>0</v>
      </c>
      <c r="AL166" s="399">
        <v>8.1273633137130652</v>
      </c>
      <c r="AM166" s="399"/>
      <c r="AN166" s="399">
        <v>1.013739229281593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1.8528156417152783</v>
      </c>
      <c r="BH166" s="399">
        <v>0</v>
      </c>
      <c r="BI166" s="399">
        <v>0</v>
      </c>
      <c r="BJ166" s="399">
        <v>0</v>
      </c>
      <c r="BK166" s="399">
        <v>0</v>
      </c>
      <c r="BL166" s="399">
        <v>0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183.3188439021084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409.10199999999998</v>
      </c>
      <c r="CJ166" s="399">
        <v>-43.02188000000001</v>
      </c>
      <c r="CK166" s="399"/>
      <c r="CL166" s="399"/>
      <c r="CM166" s="399"/>
      <c r="CN166" s="399"/>
      <c r="CO166" s="399">
        <v>-65.918160000000029</v>
      </c>
      <c r="CP166" s="399">
        <v>23.401980000000005</v>
      </c>
      <c r="CQ166" s="399">
        <v>31</v>
      </c>
      <c r="CR166" s="399">
        <v>23.385625121624457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2.2081380517539131</v>
      </c>
      <c r="DA166" s="399">
        <v>0</v>
      </c>
      <c r="DB166" s="399">
        <v>0</v>
      </c>
      <c r="DC166" s="399">
        <v>23.401536653154153</v>
      </c>
      <c r="DD166" s="399">
        <v>0</v>
      </c>
      <c r="DE166" s="399">
        <v>0</v>
      </c>
      <c r="DF166" s="399">
        <v>0</v>
      </c>
      <c r="DG166" s="399">
        <v>0.23893581386440577</v>
      </c>
      <c r="DH166" s="399">
        <v>0</v>
      </c>
      <c r="DI166" s="399">
        <v>-2.1384827753203126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-0.2584138936529774</v>
      </c>
      <c r="DP166" s="399">
        <v>-6.6088728174665379E-2</v>
      </c>
      <c r="DQ166" s="399">
        <v>0</v>
      </c>
      <c r="DR166" s="399">
        <v>0</v>
      </c>
      <c r="DS166" s="399"/>
      <c r="DT166" s="399"/>
      <c r="DU166" s="399"/>
      <c r="DV166" s="399">
        <v>150.19228331992221</v>
      </c>
      <c r="DW166" s="399">
        <v>0</v>
      </c>
      <c r="DX166" s="399">
        <v>0</v>
      </c>
      <c r="DY166" s="399">
        <v>-65.918160000000029</v>
      </c>
      <c r="DZ166" s="399">
        <v>23.40197999999998</v>
      </c>
      <c r="EA166" s="399">
        <v>0</v>
      </c>
      <c r="EB166" s="399">
        <v>0</v>
      </c>
      <c r="EC166" s="399">
        <v>-65.900214555221723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216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954</v>
      </c>
      <c r="C167" s="399" t="s">
        <v>2361</v>
      </c>
      <c r="D167" s="399" t="s">
        <v>1824</v>
      </c>
      <c r="E167" s="399" t="s">
        <v>916</v>
      </c>
      <c r="F167" s="399" t="s">
        <v>1237</v>
      </c>
      <c r="G167" s="399" t="s">
        <v>1237</v>
      </c>
      <c r="H167" s="399" t="s">
        <v>1237</v>
      </c>
      <c r="I167" s="399" t="s">
        <v>1237</v>
      </c>
      <c r="J167" s="399" t="s">
        <v>2353</v>
      </c>
      <c r="K167" s="789">
        <v>44562</v>
      </c>
      <c r="L167" s="399">
        <v>0</v>
      </c>
      <c r="M167" s="399">
        <v>0</v>
      </c>
      <c r="N167" s="399">
        <v>0</v>
      </c>
      <c r="O167" s="399">
        <v>0</v>
      </c>
      <c r="P167" s="399">
        <v>0</v>
      </c>
      <c r="Q167" s="399">
        <v>0</v>
      </c>
      <c r="R167" s="399"/>
      <c r="S167" s="399"/>
      <c r="T167" s="399"/>
      <c r="U167" s="399"/>
      <c r="V167" s="399"/>
      <c r="W167" s="399"/>
      <c r="X167" s="399"/>
      <c r="Y167" s="399"/>
      <c r="Z167" s="399"/>
      <c r="AA167" s="399">
        <v>0</v>
      </c>
      <c r="AB167" s="399"/>
      <c r="AC167" s="399"/>
      <c r="AD167" s="399"/>
      <c r="AE167" s="399"/>
      <c r="AF167" s="399"/>
      <c r="AG167" s="399"/>
      <c r="AH167" s="399"/>
      <c r="AI167" s="399"/>
      <c r="AJ167" s="399"/>
      <c r="AK167" s="399"/>
      <c r="AL167" s="399"/>
      <c r="AM167" s="399"/>
      <c r="AN167" s="399"/>
      <c r="AO167" s="399"/>
      <c r="AP167" s="399"/>
      <c r="AQ167" s="399"/>
      <c r="AR167" s="399"/>
      <c r="AS167" s="399"/>
      <c r="AT167" s="399"/>
      <c r="AU167" s="399"/>
      <c r="AV167" s="399"/>
      <c r="AW167" s="399"/>
      <c r="AX167" s="399"/>
      <c r="AY167" s="399"/>
      <c r="AZ167" s="399">
        <v>0</v>
      </c>
      <c r="BA167" s="399"/>
      <c r="BB167" s="399"/>
      <c r="BC167" s="399"/>
      <c r="BD167" s="399"/>
      <c r="BE167" s="399"/>
      <c r="BF167" s="399"/>
      <c r="BG167" s="399"/>
      <c r="BH167" s="399"/>
      <c r="BI167" s="399">
        <v>0</v>
      </c>
      <c r="BJ167" s="399">
        <v>0</v>
      </c>
      <c r="BK167" s="399">
        <v>224.62</v>
      </c>
      <c r="BL167" s="399">
        <v>1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/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/>
      <c r="CJ167" s="399">
        <v>-0.03</v>
      </c>
      <c r="CK167" s="399"/>
      <c r="CL167" s="399"/>
      <c r="CM167" s="399"/>
      <c r="CN167" s="399"/>
      <c r="CO167" s="399">
        <v>0</v>
      </c>
      <c r="CP167" s="399">
        <v>0</v>
      </c>
      <c r="CQ167" s="399">
        <v>31</v>
      </c>
      <c r="CR167" s="399"/>
      <c r="CS167" s="399"/>
      <c r="CT167" s="399"/>
      <c r="CU167" s="399"/>
      <c r="CV167" s="399"/>
      <c r="CW167" s="399"/>
      <c r="CX167" s="399"/>
      <c r="CY167" s="399"/>
      <c r="CZ167" s="399"/>
      <c r="DA167" s="399"/>
      <c r="DB167" s="399"/>
      <c r="DC167" s="399"/>
      <c r="DD167" s="399"/>
      <c r="DE167" s="399"/>
      <c r="DF167" s="399"/>
      <c r="DG167" s="399"/>
      <c r="DH167" s="399"/>
      <c r="DI167" s="399"/>
      <c r="DJ167" s="399"/>
      <c r="DK167" s="399">
        <v>0</v>
      </c>
      <c r="DL167" s="399"/>
      <c r="DM167" s="399"/>
      <c r="DN167" s="399"/>
      <c r="DO167" s="399"/>
      <c r="DP167" s="399"/>
      <c r="DQ167" s="399"/>
      <c r="DR167" s="399"/>
      <c r="DS167" s="399"/>
      <c r="DT167" s="399"/>
      <c r="DU167" s="399"/>
      <c r="DV167" s="399"/>
      <c r="DW167" s="399"/>
      <c r="DX167" s="399"/>
      <c r="DY167" s="399"/>
      <c r="DZ167" s="399"/>
      <c r="EA167" s="399"/>
      <c r="EB167" s="399"/>
      <c r="EC167" s="399"/>
      <c r="ED167" s="399"/>
      <c r="EE167" s="399"/>
      <c r="EF167" s="399"/>
      <c r="EG167" s="399"/>
      <c r="EH167" s="399"/>
      <c r="EI167" s="399"/>
      <c r="EJ167" s="399"/>
      <c r="EK167" s="399"/>
      <c r="EL167" s="399"/>
      <c r="EM167" s="399"/>
      <c r="EN167" s="399"/>
      <c r="EO167" s="399"/>
      <c r="EP167" s="399"/>
      <c r="EQ167" s="399"/>
      <c r="ER167" s="399"/>
      <c r="ES167" s="399"/>
      <c r="ET167" s="399"/>
      <c r="EU167" s="399"/>
      <c r="EV167" s="399">
        <v>216</v>
      </c>
      <c r="EW167" s="399"/>
      <c r="EX167" s="399"/>
      <c r="EY167" s="399"/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954</v>
      </c>
      <c r="C168" s="399" t="s">
        <v>2361</v>
      </c>
      <c r="D168" s="399" t="s">
        <v>1824</v>
      </c>
      <c r="E168" s="399" t="s">
        <v>916</v>
      </c>
      <c r="F168" s="399" t="s">
        <v>1237</v>
      </c>
      <c r="G168" s="399" t="s">
        <v>1237</v>
      </c>
      <c r="H168" s="399" t="s">
        <v>1237</v>
      </c>
      <c r="I168" s="399" t="s">
        <v>2362</v>
      </c>
      <c r="J168" s="399" t="s">
        <v>2353</v>
      </c>
      <c r="K168" s="789">
        <v>44562</v>
      </c>
      <c r="L168" s="399">
        <v>0</v>
      </c>
      <c r="M168" s="399">
        <v>0</v>
      </c>
      <c r="N168" s="399">
        <v>0.05</v>
      </c>
      <c r="O168" s="399">
        <v>0.05</v>
      </c>
      <c r="P168" s="399">
        <v>0.05</v>
      </c>
      <c r="Q168" s="399">
        <v>0.05</v>
      </c>
      <c r="R168" s="399"/>
      <c r="S168" s="399">
        <v>782.07</v>
      </c>
      <c r="T168" s="399">
        <v>215.17</v>
      </c>
      <c r="U168" s="399"/>
      <c r="V168" s="399">
        <v>49.862000000000002</v>
      </c>
      <c r="W168" s="399">
        <v>49.862000000000002</v>
      </c>
      <c r="X168" s="399">
        <v>39.9955</v>
      </c>
      <c r="Y168" s="399">
        <v>0</v>
      </c>
      <c r="Z168" s="399">
        <v>3.0543299047093604</v>
      </c>
      <c r="AA168" s="399">
        <v>0</v>
      </c>
      <c r="AB168" s="399">
        <v>0</v>
      </c>
      <c r="AC168" s="399">
        <v>0</v>
      </c>
      <c r="AD168" s="399">
        <v>9.2447079996990507</v>
      </c>
      <c r="AE168" s="399">
        <v>26.165874076566151</v>
      </c>
      <c r="AF168" s="399">
        <v>10.538096879233052</v>
      </c>
      <c r="AG168" s="399">
        <v>0.22034872174884051</v>
      </c>
      <c r="AH168" s="399">
        <v>0</v>
      </c>
      <c r="AI168" s="399">
        <v>0</v>
      </c>
      <c r="AJ168" s="399">
        <v>0</v>
      </c>
      <c r="AK168" s="399">
        <v>0</v>
      </c>
      <c r="AL168" s="399">
        <v>0.47197231786951604</v>
      </c>
      <c r="AM168" s="399"/>
      <c r="AN168" s="399">
        <v>5.8869873942020506E-2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0.107596727161166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10.645693606394218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39.9955</v>
      </c>
      <c r="CJ168" s="399">
        <v>-9.8964999999999961</v>
      </c>
      <c r="CK168" s="399"/>
      <c r="CL168" s="399"/>
      <c r="CM168" s="399"/>
      <c r="CN168" s="399"/>
      <c r="CO168" s="399">
        <v>-11.225500000000006</v>
      </c>
      <c r="CP168" s="399">
        <v>1.3590000000000004</v>
      </c>
      <c r="CQ168" s="399">
        <v>31</v>
      </c>
      <c r="CR168" s="399">
        <v>1.6146041446940558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0.38478491880145071</v>
      </c>
      <c r="DA168" s="399">
        <v>0</v>
      </c>
      <c r="DB168" s="399">
        <v>0</v>
      </c>
      <c r="DC168" s="399">
        <v>1.3589742539578484</v>
      </c>
      <c r="DD168" s="399">
        <v>0</v>
      </c>
      <c r="DE168" s="399">
        <v>0</v>
      </c>
      <c r="DF168" s="399">
        <v>0</v>
      </c>
      <c r="DG168" s="399">
        <v>1.3875482802811007E-2</v>
      </c>
      <c r="DH168" s="399">
        <v>0</v>
      </c>
      <c r="DI168" s="399">
        <v>-0.12418599159816024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-1.5006614033274024E-2</v>
      </c>
      <c r="DP168" s="399">
        <v>-3.8379052366240077E-3</v>
      </c>
      <c r="DQ168" s="399">
        <v>0</v>
      </c>
      <c r="DR168" s="399">
        <v>0</v>
      </c>
      <c r="DS168" s="399"/>
      <c r="DT168" s="399"/>
      <c r="DU168" s="399"/>
      <c r="DV168" s="399">
        <v>26.165874076566151</v>
      </c>
      <c r="DW168" s="399">
        <v>0</v>
      </c>
      <c r="DX168" s="399">
        <v>0</v>
      </c>
      <c r="DY168" s="399">
        <v>-11.225500000000004</v>
      </c>
      <c r="DZ168" s="399">
        <v>1.359</v>
      </c>
      <c r="EA168" s="399">
        <v>0</v>
      </c>
      <c r="EB168" s="399">
        <v>0</v>
      </c>
      <c r="EC168" s="399">
        <v>-11.48086091745235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216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954</v>
      </c>
      <c r="C169" s="399" t="s">
        <v>2352</v>
      </c>
      <c r="D169" s="399" t="s">
        <v>2363</v>
      </c>
      <c r="E169" s="399" t="s">
        <v>892</v>
      </c>
      <c r="F169" s="399" t="s">
        <v>1237</v>
      </c>
      <c r="G169" s="399" t="s">
        <v>1237</v>
      </c>
      <c r="H169" s="399" t="s">
        <v>1237</v>
      </c>
      <c r="I169" s="399" t="s">
        <v>1237</v>
      </c>
      <c r="J169" s="399" t="s">
        <v>2353</v>
      </c>
      <c r="K169" s="789">
        <v>44562</v>
      </c>
      <c r="L169" s="399">
        <v>0</v>
      </c>
      <c r="M169" s="399">
        <v>0</v>
      </c>
      <c r="N169" s="399">
        <v>526.49800000000005</v>
      </c>
      <c r="O169" s="399">
        <v>526.49800000000005</v>
      </c>
      <c r="P169" s="399">
        <v>526.49800000000005</v>
      </c>
      <c r="Q169" s="399">
        <v>526.49800000000005</v>
      </c>
      <c r="R169" s="399"/>
      <c r="S169" s="399">
        <v>415.98</v>
      </c>
      <c r="T169" s="399">
        <v>215.17</v>
      </c>
      <c r="U169" s="399"/>
      <c r="V169" s="399">
        <v>332299.21270000003</v>
      </c>
      <c r="W169" s="399">
        <v>332299.21270000003</v>
      </c>
      <c r="X169" s="399">
        <v>288805.21292000002</v>
      </c>
      <c r="Y169" s="399">
        <v>0</v>
      </c>
      <c r="Z169" s="399">
        <v>32161.971723393377</v>
      </c>
      <c r="AA169" s="399">
        <v>0</v>
      </c>
      <c r="AB169" s="399">
        <v>0</v>
      </c>
      <c r="AC169" s="399">
        <v>0</v>
      </c>
      <c r="AD169" s="399">
        <v>47024.472872630293</v>
      </c>
      <c r="AE169" s="399">
        <v>133104.21831002372</v>
      </c>
      <c r="AF169" s="399">
        <v>110965.73861444887</v>
      </c>
      <c r="AG169" s="399">
        <v>2320.2632260664209</v>
      </c>
      <c r="AH169" s="399">
        <v>0</v>
      </c>
      <c r="AI169" s="399">
        <v>0</v>
      </c>
      <c r="AJ169" s="399">
        <v>0</v>
      </c>
      <c r="AK169" s="399">
        <v>0</v>
      </c>
      <c r="AL169" s="399">
        <v>4969.8496282732895</v>
      </c>
      <c r="AM169" s="399"/>
      <c r="AN169" s="399">
        <v>619.89741781451823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1132.9892331379915</v>
      </c>
      <c r="BH169" s="399">
        <v>0</v>
      </c>
      <c r="BI169" s="399">
        <v>0</v>
      </c>
      <c r="BJ169" s="399">
        <v>0</v>
      </c>
      <c r="BK169" s="399">
        <v>73045.66</v>
      </c>
      <c r="BL169" s="399">
        <v>1665</v>
      </c>
      <c r="BM169" s="399"/>
      <c r="BN169" s="399"/>
      <c r="BO169" s="399"/>
      <c r="BP169" s="399"/>
      <c r="BQ169" s="399"/>
      <c r="BR169" s="399">
        <v>34654.098359999996</v>
      </c>
      <c r="BS169" s="399"/>
      <c r="BT169" s="399"/>
      <c r="BU169" s="399"/>
      <c r="BV169" s="399">
        <v>112098.72784758687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254152.08</v>
      </c>
      <c r="CJ169" s="399">
        <v>-38270.204180000088</v>
      </c>
      <c r="CK169" s="399"/>
      <c r="CL169" s="399"/>
      <c r="CM169" s="399"/>
      <c r="CN169" s="399"/>
      <c r="CO169" s="399">
        <v>-57804.215420000015</v>
      </c>
      <c r="CP169" s="399">
        <v>14310.215640000004</v>
      </c>
      <c r="CQ169" s="399">
        <v>31</v>
      </c>
      <c r="CR169" s="399">
        <v>14907.208423735865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1957.2611678557951</v>
      </c>
      <c r="DA169" s="399">
        <v>0</v>
      </c>
      <c r="DB169" s="399">
        <v>0</v>
      </c>
      <c r="DC169" s="399">
        <v>14309.944535205985</v>
      </c>
      <c r="DD169" s="399">
        <v>0</v>
      </c>
      <c r="DE169" s="399">
        <v>0</v>
      </c>
      <c r="DF169" s="399">
        <v>0</v>
      </c>
      <c r="DG169" s="399">
        <v>146.10827889428788</v>
      </c>
      <c r="DH169" s="399">
        <v>0</v>
      </c>
      <c r="DI169" s="399">
        <v>-1307.6735240889611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-158.01904550581366</v>
      </c>
      <c r="DP169" s="399">
        <v>-40.412988625441358</v>
      </c>
      <c r="DQ169" s="399">
        <v>0</v>
      </c>
      <c r="DR169" s="399">
        <v>0</v>
      </c>
      <c r="DS169" s="399"/>
      <c r="DT169" s="399"/>
      <c r="DU169" s="399"/>
      <c r="DV169" s="399">
        <v>133104.21831002372</v>
      </c>
      <c r="DW169" s="399">
        <v>0</v>
      </c>
      <c r="DX169" s="399">
        <v>0</v>
      </c>
      <c r="DY169" s="399">
        <v>-57804.215419999993</v>
      </c>
      <c r="DZ169" s="399">
        <v>14310.215640000009</v>
      </c>
      <c r="EA169" s="399">
        <v>0</v>
      </c>
      <c r="EB169" s="399">
        <v>0</v>
      </c>
      <c r="EC169" s="399">
        <v>-58402.444858977178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216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2354</v>
      </c>
      <c r="C170" s="399" t="s">
        <v>2352</v>
      </c>
      <c r="D170" s="399" t="s">
        <v>2363</v>
      </c>
      <c r="E170" s="399" t="s">
        <v>892</v>
      </c>
      <c r="F170" s="399" t="s">
        <v>1237</v>
      </c>
      <c r="G170" s="399" t="s">
        <v>1237</v>
      </c>
      <c r="H170" s="399" t="s">
        <v>1237</v>
      </c>
      <c r="I170" s="399" t="s">
        <v>1237</v>
      </c>
      <c r="J170" s="399" t="s">
        <v>2353</v>
      </c>
      <c r="K170" s="789">
        <v>44562</v>
      </c>
      <c r="L170" s="399">
        <v>0</v>
      </c>
      <c r="M170" s="399">
        <v>0</v>
      </c>
      <c r="N170" s="399">
        <v>-0.33300000000000002</v>
      </c>
      <c r="O170" s="399">
        <v>-0.33300000000000002</v>
      </c>
      <c r="P170" s="399">
        <v>-0.33300000000000002</v>
      </c>
      <c r="Q170" s="399">
        <v>-0.33300000000000002</v>
      </c>
      <c r="R170" s="399"/>
      <c r="S170" s="399">
        <v>415.98</v>
      </c>
      <c r="T170" s="399">
        <v>215.17</v>
      </c>
      <c r="U170" s="399"/>
      <c r="V170" s="399">
        <v>-210.17295000000001</v>
      </c>
      <c r="W170" s="399">
        <v>-210.17295000000001</v>
      </c>
      <c r="X170" s="399">
        <v>-182.66381999999999</v>
      </c>
      <c r="Y170" s="399">
        <v>0</v>
      </c>
      <c r="Z170" s="399">
        <v>-20.341837165364339</v>
      </c>
      <c r="AA170" s="399">
        <v>0</v>
      </c>
      <c r="AB170" s="399">
        <v>0</v>
      </c>
      <c r="AC170" s="399">
        <v>0</v>
      </c>
      <c r="AD170" s="399">
        <v>-29.742087275898268</v>
      </c>
      <c r="AE170" s="399">
        <v>-84.185893768329407</v>
      </c>
      <c r="AF170" s="399">
        <v>-70.183725215692121</v>
      </c>
      <c r="AG170" s="399">
        <v>-1.4675224868472778</v>
      </c>
      <c r="AH170" s="399">
        <v>0</v>
      </c>
      <c r="AI170" s="399">
        <v>0</v>
      </c>
      <c r="AJ170" s="399">
        <v>0</v>
      </c>
      <c r="AK170" s="399">
        <v>0</v>
      </c>
      <c r="AL170" s="399">
        <v>-3.1433356370109768</v>
      </c>
      <c r="AM170" s="399"/>
      <c r="AN170" s="399">
        <v>-0.39207336045385655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-0.71659420289336562</v>
      </c>
      <c r="BH170" s="399">
        <v>0</v>
      </c>
      <c r="BI170" s="399">
        <v>0</v>
      </c>
      <c r="BJ170" s="399">
        <v>0</v>
      </c>
      <c r="BK170" s="399">
        <v>-76.650000000000006</v>
      </c>
      <c r="BL170" s="399">
        <v>0</v>
      </c>
      <c r="BM170" s="399"/>
      <c r="BN170" s="399"/>
      <c r="BO170" s="399"/>
      <c r="BP170" s="399"/>
      <c r="BQ170" s="399"/>
      <c r="BR170" s="399">
        <v>-21.918059999999997</v>
      </c>
      <c r="BS170" s="399"/>
      <c r="BT170" s="399"/>
      <c r="BU170" s="399"/>
      <c r="BV170" s="399">
        <v>-70.900319418585482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-159.29759999999999</v>
      </c>
      <c r="CJ170" s="399">
        <v>25.62393000000003</v>
      </c>
      <c r="CK170" s="399"/>
      <c r="CL170" s="399"/>
      <c r="CM170" s="399"/>
      <c r="CN170" s="399"/>
      <c r="CO170" s="399">
        <v>36.56007000000001</v>
      </c>
      <c r="CP170" s="399">
        <v>-9.0509400000000024</v>
      </c>
      <c r="CQ170" s="399">
        <v>31</v>
      </c>
      <c r="CR170" s="399">
        <v>-9.4285266137839869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-1.2379305693392588</v>
      </c>
      <c r="DA170" s="399">
        <v>0</v>
      </c>
      <c r="DB170" s="399">
        <v>0</v>
      </c>
      <c r="DC170" s="399">
        <v>-9.0507685313592816</v>
      </c>
      <c r="DD170" s="399">
        <v>0</v>
      </c>
      <c r="DE170" s="399">
        <v>0</v>
      </c>
      <c r="DF170" s="399">
        <v>0</v>
      </c>
      <c r="DG170" s="399">
        <v>-9.2410715466721305E-2</v>
      </c>
      <c r="DH170" s="399">
        <v>0</v>
      </c>
      <c r="DI170" s="399">
        <v>0.82707870404374617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9.9944049461604845E-2</v>
      </c>
      <c r="DP170" s="399">
        <v>2.5560448875915853E-2</v>
      </c>
      <c r="DQ170" s="399">
        <v>0</v>
      </c>
      <c r="DR170" s="399">
        <v>0</v>
      </c>
      <c r="DS170" s="399"/>
      <c r="DT170" s="399"/>
      <c r="DU170" s="399"/>
      <c r="DV170" s="399">
        <v>-84.185893768329407</v>
      </c>
      <c r="DW170" s="399">
        <v>0</v>
      </c>
      <c r="DX170" s="399">
        <v>0</v>
      </c>
      <c r="DY170" s="399">
        <v>36.56007000000001</v>
      </c>
      <c r="DZ170" s="399">
        <v>-9.0509399999999971</v>
      </c>
      <c r="EA170" s="399">
        <v>0</v>
      </c>
      <c r="EB170" s="399">
        <v>0</v>
      </c>
      <c r="EC170" s="399">
        <v>36.938438774771036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216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2355</v>
      </c>
      <c r="C171" s="399" t="s">
        <v>2352</v>
      </c>
      <c r="D171" s="399" t="s">
        <v>2363</v>
      </c>
      <c r="E171" s="399" t="s">
        <v>892</v>
      </c>
      <c r="F171" s="399" t="s">
        <v>1237</v>
      </c>
      <c r="G171" s="399" t="s">
        <v>1237</v>
      </c>
      <c r="H171" s="399" t="s">
        <v>1237</v>
      </c>
      <c r="I171" s="399" t="s">
        <v>1237</v>
      </c>
      <c r="J171" s="399" t="s">
        <v>2353</v>
      </c>
      <c r="K171" s="789">
        <v>44562</v>
      </c>
      <c r="L171" s="399">
        <v>0</v>
      </c>
      <c r="M171" s="399">
        <v>0</v>
      </c>
      <c r="N171" s="399">
        <v>6.0789999999999997</v>
      </c>
      <c r="O171" s="399">
        <v>6.0789999999999997</v>
      </c>
      <c r="P171" s="399">
        <v>6.0789999999999997</v>
      </c>
      <c r="Q171" s="399">
        <v>6.0789999999999997</v>
      </c>
      <c r="R171" s="399"/>
      <c r="S171" s="399">
        <v>415.98</v>
      </c>
      <c r="T171" s="399">
        <v>215.17</v>
      </c>
      <c r="U171" s="399"/>
      <c r="V171" s="399">
        <v>3836.7608499999997</v>
      </c>
      <c r="W171" s="399">
        <v>3836.7608499999997</v>
      </c>
      <c r="X171" s="399">
        <v>3334.5746599999998</v>
      </c>
      <c r="Y171" s="399">
        <v>0</v>
      </c>
      <c r="Z171" s="399">
        <v>371.345429814564</v>
      </c>
      <c r="AA171" s="399">
        <v>0</v>
      </c>
      <c r="AB171" s="399">
        <v>0</v>
      </c>
      <c r="AC171" s="399">
        <v>0</v>
      </c>
      <c r="AD171" s="399">
        <v>542.94939504560227</v>
      </c>
      <c r="AE171" s="399">
        <v>1536.8349796326559</v>
      </c>
      <c r="AF171" s="399">
        <v>1281.2218185771542</v>
      </c>
      <c r="AG171" s="399">
        <v>26.789997590224026</v>
      </c>
      <c r="AH171" s="399">
        <v>0</v>
      </c>
      <c r="AI171" s="399">
        <v>0</v>
      </c>
      <c r="AJ171" s="399">
        <v>0</v>
      </c>
      <c r="AK171" s="399">
        <v>0</v>
      </c>
      <c r="AL171" s="399">
        <v>57.382394406575756</v>
      </c>
      <c r="AM171" s="399"/>
      <c r="AN171" s="399">
        <v>7.1573992738708521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13.081610088254561</v>
      </c>
      <c r="BH171" s="399">
        <v>0</v>
      </c>
      <c r="BI171" s="399">
        <v>0</v>
      </c>
      <c r="BJ171" s="399">
        <v>0</v>
      </c>
      <c r="BK171" s="399">
        <v>2479.7399999999998</v>
      </c>
      <c r="BL171" s="399">
        <v>22</v>
      </c>
      <c r="BM171" s="399"/>
      <c r="BN171" s="399"/>
      <c r="BO171" s="399"/>
      <c r="BP171" s="399"/>
      <c r="BQ171" s="399"/>
      <c r="BR171" s="399">
        <v>400.11977999999993</v>
      </c>
      <c r="BS171" s="399"/>
      <c r="BT171" s="399"/>
      <c r="BU171" s="399"/>
      <c r="BV171" s="399">
        <v>1294.3034286654088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2934.9376000000002</v>
      </c>
      <c r="CJ171" s="399">
        <v>-441.42979000000014</v>
      </c>
      <c r="CK171" s="399"/>
      <c r="CL171" s="399"/>
      <c r="CM171" s="399"/>
      <c r="CN171" s="399"/>
      <c r="CO171" s="399">
        <v>-667.41341000000011</v>
      </c>
      <c r="CP171" s="399">
        <v>165.22722000000005</v>
      </c>
      <c r="CQ171" s="399">
        <v>31</v>
      </c>
      <c r="CR171" s="399">
        <v>172.12016001559368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22.598738531571598</v>
      </c>
      <c r="DA171" s="399">
        <v>0</v>
      </c>
      <c r="DB171" s="399">
        <v>0</v>
      </c>
      <c r="DC171" s="399">
        <v>165.22408979619536</v>
      </c>
      <c r="DD171" s="399">
        <v>0</v>
      </c>
      <c r="DE171" s="399">
        <v>0</v>
      </c>
      <c r="DF171" s="399">
        <v>0</v>
      </c>
      <c r="DG171" s="399">
        <v>1.6869811991657642</v>
      </c>
      <c r="DH171" s="399">
        <v>0</v>
      </c>
      <c r="DI171" s="399">
        <v>-15.098532858504313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-1.8245041341654513</v>
      </c>
      <c r="DP171" s="399">
        <v>-0.46661251866874665</v>
      </c>
      <c r="DQ171" s="399">
        <v>0</v>
      </c>
      <c r="DR171" s="399">
        <v>0</v>
      </c>
      <c r="DS171" s="399"/>
      <c r="DT171" s="399"/>
      <c r="DU171" s="399"/>
      <c r="DV171" s="399">
        <v>1536.8349796326559</v>
      </c>
      <c r="DW171" s="399">
        <v>0</v>
      </c>
      <c r="DX171" s="399">
        <v>0</v>
      </c>
      <c r="DY171" s="399">
        <v>-667.41341000000011</v>
      </c>
      <c r="DZ171" s="399">
        <v>165.22721999999999</v>
      </c>
      <c r="EA171" s="399">
        <v>0</v>
      </c>
      <c r="EB171" s="399">
        <v>0</v>
      </c>
      <c r="EC171" s="399">
        <v>-674.32062856406333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216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954</v>
      </c>
      <c r="C172" s="399" t="s">
        <v>2352</v>
      </c>
      <c r="D172" s="399" t="s">
        <v>1824</v>
      </c>
      <c r="E172" s="399" t="s">
        <v>2364</v>
      </c>
      <c r="F172" s="399" t="s">
        <v>1237</v>
      </c>
      <c r="G172" s="399" t="s">
        <v>1237</v>
      </c>
      <c r="H172" s="399" t="s">
        <v>1237</v>
      </c>
      <c r="I172" s="399" t="s">
        <v>1237</v>
      </c>
      <c r="J172" s="399" t="s">
        <v>2353</v>
      </c>
      <c r="K172" s="789">
        <v>44562</v>
      </c>
      <c r="L172" s="399">
        <v>0</v>
      </c>
      <c r="M172" s="399">
        <v>0</v>
      </c>
      <c r="N172" s="399">
        <v>23.474</v>
      </c>
      <c r="O172" s="399">
        <v>23.474</v>
      </c>
      <c r="P172" s="399">
        <v>23.474</v>
      </c>
      <c r="Q172" s="399">
        <v>23.474</v>
      </c>
      <c r="R172" s="399"/>
      <c r="S172" s="399">
        <v>415.98</v>
      </c>
      <c r="T172" s="399">
        <v>215.17</v>
      </c>
      <c r="U172" s="399"/>
      <c r="V172" s="399">
        <v>14815.615100000001</v>
      </c>
      <c r="W172" s="399">
        <v>14815.615100000001</v>
      </c>
      <c r="X172" s="399">
        <v>12876.427960000001</v>
      </c>
      <c r="Y172" s="399">
        <v>0</v>
      </c>
      <c r="Z172" s="399">
        <v>1433.9468036629505</v>
      </c>
      <c r="AA172" s="399">
        <v>0</v>
      </c>
      <c r="AB172" s="399">
        <v>0</v>
      </c>
      <c r="AC172" s="399">
        <v>0</v>
      </c>
      <c r="AD172" s="399">
        <v>2096.593864007315</v>
      </c>
      <c r="AE172" s="399">
        <v>5934.4734844377308</v>
      </c>
      <c r="AF172" s="399">
        <v>4947.4257228623328</v>
      </c>
      <c r="AG172" s="399">
        <v>103.44931788664564</v>
      </c>
      <c r="AH172" s="399">
        <v>0</v>
      </c>
      <c r="AI172" s="399">
        <v>0</v>
      </c>
      <c r="AJ172" s="399">
        <v>0</v>
      </c>
      <c r="AK172" s="399">
        <v>0</v>
      </c>
      <c r="AL172" s="399">
        <v>221.58156379338038</v>
      </c>
      <c r="AM172" s="399"/>
      <c r="AN172" s="399">
        <v>27.638228418299786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50.51451146762421</v>
      </c>
      <c r="BH172" s="399">
        <v>0</v>
      </c>
      <c r="BI172" s="399">
        <v>0</v>
      </c>
      <c r="BJ172" s="399">
        <v>0</v>
      </c>
      <c r="BK172" s="399">
        <v>4834.8100000000004</v>
      </c>
      <c r="BL172" s="399">
        <v>48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4997.9402343299571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12874.233799999998</v>
      </c>
      <c r="CJ172" s="399">
        <v>-1941.4113000000034</v>
      </c>
      <c r="CK172" s="399"/>
      <c r="CL172" s="399"/>
      <c r="CM172" s="399"/>
      <c r="CN172" s="399"/>
      <c r="CO172" s="399">
        <v>-2577.2104600000007</v>
      </c>
      <c r="CP172" s="399">
        <v>638.02332000000013</v>
      </c>
      <c r="CQ172" s="399">
        <v>31</v>
      </c>
      <c r="CR172" s="399">
        <v>664.6403415374316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87.264811365374499</v>
      </c>
      <c r="DA172" s="399">
        <v>0</v>
      </c>
      <c r="DB172" s="399">
        <v>0</v>
      </c>
      <c r="DC172" s="399">
        <v>638.01123274813108</v>
      </c>
      <c r="DD172" s="399">
        <v>0</v>
      </c>
      <c r="DE172" s="399">
        <v>0</v>
      </c>
      <c r="DF172" s="399">
        <v>0</v>
      </c>
      <c r="DG172" s="399">
        <v>6.5142616662637138</v>
      </c>
      <c r="DH172" s="399">
        <v>0</v>
      </c>
      <c r="DI172" s="399">
        <v>-58.302839335504359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-7.0453051563414704</v>
      </c>
      <c r="DP172" s="399">
        <v>-1.8018197504902389</v>
      </c>
      <c r="DQ172" s="399">
        <v>0</v>
      </c>
      <c r="DR172" s="399">
        <v>0</v>
      </c>
      <c r="DS172" s="399"/>
      <c r="DT172" s="399"/>
      <c r="DU172" s="399"/>
      <c r="DV172" s="399">
        <v>5934.4734844377308</v>
      </c>
      <c r="DW172" s="399">
        <v>0</v>
      </c>
      <c r="DX172" s="399">
        <v>0</v>
      </c>
      <c r="DY172" s="399">
        <v>-2577.2104600000011</v>
      </c>
      <c r="DZ172" s="399">
        <v>638.02332000000024</v>
      </c>
      <c r="EA172" s="399">
        <v>0</v>
      </c>
      <c r="EB172" s="399">
        <v>0</v>
      </c>
      <c r="EC172" s="399">
        <v>-2603.8826180149404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216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954</v>
      </c>
      <c r="C173" s="399" t="s">
        <v>2352</v>
      </c>
      <c r="D173" s="399" t="s">
        <v>2365</v>
      </c>
      <c r="E173" s="399" t="s">
        <v>2366</v>
      </c>
      <c r="F173" s="399" t="s">
        <v>2367</v>
      </c>
      <c r="G173" s="399" t="s">
        <v>1237</v>
      </c>
      <c r="H173" s="399" t="s">
        <v>1237</v>
      </c>
      <c r="I173" s="399" t="s">
        <v>1237</v>
      </c>
      <c r="J173" s="399" t="s">
        <v>2353</v>
      </c>
      <c r="K173" s="789">
        <v>44562</v>
      </c>
      <c r="L173" s="399">
        <v>0</v>
      </c>
      <c r="M173" s="399">
        <v>0</v>
      </c>
      <c r="N173" s="399">
        <v>92.894000000000005</v>
      </c>
      <c r="O173" s="399">
        <v>92.894000000000005</v>
      </c>
      <c r="P173" s="399">
        <v>92.894000000000005</v>
      </c>
      <c r="Q173" s="399">
        <v>92.894000000000005</v>
      </c>
      <c r="R173" s="399"/>
      <c r="S173" s="399">
        <v>228.79</v>
      </c>
      <c r="T173" s="399">
        <v>118.34</v>
      </c>
      <c r="U173" s="399"/>
      <c r="V173" s="399">
        <v>32246.294220000003</v>
      </c>
      <c r="W173" s="399">
        <v>32246.294220000003</v>
      </c>
      <c r="X173" s="399">
        <v>28025.190860000002</v>
      </c>
      <c r="Y173" s="399">
        <v>0</v>
      </c>
      <c r="Z173" s="399">
        <v>3121.0181438487789</v>
      </c>
      <c r="AA173" s="399">
        <v>0</v>
      </c>
      <c r="AB173" s="399">
        <v>0</v>
      </c>
      <c r="AC173" s="399">
        <v>0</v>
      </c>
      <c r="AD173" s="399">
        <v>4563.284686108148</v>
      </c>
      <c r="AE173" s="399">
        <v>12916.517803733823</v>
      </c>
      <c r="AF173" s="399">
        <v>10768.185686494175</v>
      </c>
      <c r="AG173" s="399">
        <v>225.15981573950512</v>
      </c>
      <c r="AH173" s="399">
        <v>0</v>
      </c>
      <c r="AI173" s="399">
        <v>0</v>
      </c>
      <c r="AJ173" s="399">
        <v>0</v>
      </c>
      <c r="AK173" s="399">
        <v>0</v>
      </c>
      <c r="AL173" s="399">
        <v>482.27736145787941</v>
      </c>
      <c r="AM173" s="399"/>
      <c r="AN173" s="399">
        <v>60.155238769670817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109.94599410200235</v>
      </c>
      <c r="BH173" s="399">
        <v>0</v>
      </c>
      <c r="BI173" s="399">
        <v>0</v>
      </c>
      <c r="BJ173" s="399">
        <v>0</v>
      </c>
      <c r="BK173" s="399">
        <v>13737.93</v>
      </c>
      <c r="BL173" s="399">
        <v>88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10878.131680596178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28023.984100000001</v>
      </c>
      <c r="CJ173" s="399">
        <v>-4222.3401199999971</v>
      </c>
      <c r="CK173" s="399"/>
      <c r="CL173" s="399"/>
      <c r="CM173" s="399"/>
      <c r="CN173" s="399"/>
      <c r="CO173" s="399">
        <v>-5609.8686599999992</v>
      </c>
      <c r="CP173" s="399">
        <v>1388.7652999999991</v>
      </c>
      <c r="CQ173" s="399">
        <v>31</v>
      </c>
      <c r="CR173" s="399">
        <v>1446.6049645450003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189.93386567420021</v>
      </c>
      <c r="DA173" s="399">
        <v>0</v>
      </c>
      <c r="DB173" s="399">
        <v>0</v>
      </c>
      <c r="DC173" s="399">
        <v>1388.6460978188243</v>
      </c>
      <c r="DD173" s="399">
        <v>0</v>
      </c>
      <c r="DE173" s="399">
        <v>0</v>
      </c>
      <c r="DF173" s="399">
        <v>0</v>
      </c>
      <c r="DG173" s="399">
        <v>14.178440094328423</v>
      </c>
      <c r="DH173" s="399">
        <v>0</v>
      </c>
      <c r="DI173" s="399">
        <v>-126.89746853870884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-15.334268444077111</v>
      </c>
      <c r="DP173" s="399">
        <v>-3.9217020595606371</v>
      </c>
      <c r="DQ173" s="399">
        <v>0</v>
      </c>
      <c r="DR173" s="399">
        <v>0</v>
      </c>
      <c r="DS173" s="399"/>
      <c r="DT173" s="399"/>
      <c r="DU173" s="399"/>
      <c r="DV173" s="399">
        <v>12916.517803733823</v>
      </c>
      <c r="DW173" s="399">
        <v>0</v>
      </c>
      <c r="DX173" s="399">
        <v>0</v>
      </c>
      <c r="DY173" s="399">
        <v>-5609.8686600000001</v>
      </c>
      <c r="DZ173" s="399">
        <v>1388.7652999999991</v>
      </c>
      <c r="EA173" s="399">
        <v>0</v>
      </c>
      <c r="EB173" s="399">
        <v>0</v>
      </c>
      <c r="EC173" s="399">
        <v>-5667.410307354281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216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954</v>
      </c>
      <c r="C174" s="399" t="s">
        <v>2352</v>
      </c>
      <c r="D174" s="399" t="s">
        <v>1824</v>
      </c>
      <c r="E174" s="399" t="s">
        <v>919</v>
      </c>
      <c r="F174" s="399" t="s">
        <v>2368</v>
      </c>
      <c r="G174" s="399" t="s">
        <v>1237</v>
      </c>
      <c r="H174" s="399" t="s">
        <v>1237</v>
      </c>
      <c r="I174" s="399" t="s">
        <v>1237</v>
      </c>
      <c r="J174" s="399" t="s">
        <v>2353</v>
      </c>
      <c r="K174" s="789">
        <v>44562</v>
      </c>
      <c r="L174" s="399">
        <v>0</v>
      </c>
      <c r="M174" s="399">
        <v>0</v>
      </c>
      <c r="N174" s="399">
        <v>17.370999999999999</v>
      </c>
      <c r="O174" s="399">
        <v>16.32874</v>
      </c>
      <c r="P174" s="399">
        <v>17.370999999999999</v>
      </c>
      <c r="Q174" s="399">
        <v>16.32874</v>
      </c>
      <c r="R174" s="399"/>
      <c r="S174" s="399">
        <v>415.98</v>
      </c>
      <c r="T174" s="399">
        <v>215.17</v>
      </c>
      <c r="U174" s="399"/>
      <c r="V174" s="399">
        <v>10963.70665</v>
      </c>
      <c r="W174" s="399">
        <v>10963.70665</v>
      </c>
      <c r="X174" s="399">
        <v>9528.6883399999988</v>
      </c>
      <c r="Y174" s="399">
        <v>0</v>
      </c>
      <c r="Z174" s="399">
        <v>1061.1352954941258</v>
      </c>
      <c r="AA174" s="399">
        <v>0</v>
      </c>
      <c r="AB174" s="399">
        <v>0</v>
      </c>
      <c r="AC174" s="399">
        <v>0</v>
      </c>
      <c r="AD174" s="399">
        <v>1551.5008951039902</v>
      </c>
      <c r="AE174" s="399">
        <v>4391.5710530019514</v>
      </c>
      <c r="AF174" s="399">
        <v>3661.145617783146</v>
      </c>
      <c r="AG174" s="399">
        <v>76.553552909982159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163.97262267422724</v>
      </c>
      <c r="AM174" s="399"/>
      <c r="AN174" s="399">
        <v>20.452571604936761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37.381254950332284</v>
      </c>
      <c r="BH174" s="399">
        <v>0</v>
      </c>
      <c r="BI174" s="399">
        <v>0</v>
      </c>
      <c r="BJ174" s="399">
        <v>0</v>
      </c>
      <c r="BK174" s="399">
        <v>3998.42</v>
      </c>
      <c r="BL174" s="399">
        <v>4</v>
      </c>
      <c r="BM174" s="399"/>
      <c r="BN174" s="399"/>
      <c r="BO174" s="399"/>
      <c r="BP174" s="399"/>
      <c r="BQ174" s="399">
        <v>571.72130039999934</v>
      </c>
      <c r="BR174" s="399"/>
      <c r="BS174" s="399"/>
      <c r="BT174" s="399"/>
      <c r="BU174" s="399"/>
      <c r="BV174" s="399">
        <v>3698.5268727334783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8957.658199999998</v>
      </c>
      <c r="CJ174" s="399">
        <v>-1348.2560510000021</v>
      </c>
      <c r="CK174" s="399"/>
      <c r="CL174" s="399"/>
      <c r="CM174" s="399"/>
      <c r="CN174" s="399"/>
      <c r="CO174" s="399">
        <v>-1907.1620900000003</v>
      </c>
      <c r="CP174" s="399">
        <v>472.14378000000011</v>
      </c>
      <c r="CQ174" s="399">
        <v>31</v>
      </c>
      <c r="CR174" s="399">
        <v>491.84064807219784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64.576852612589391</v>
      </c>
      <c r="DA174" s="399">
        <v>0</v>
      </c>
      <c r="DB174" s="399">
        <v>0</v>
      </c>
      <c r="DC174" s="399">
        <v>472.13483531003658</v>
      </c>
      <c r="DD174" s="399">
        <v>0</v>
      </c>
      <c r="DE174" s="399">
        <v>0</v>
      </c>
      <c r="DF174" s="399">
        <v>0</v>
      </c>
      <c r="DG174" s="399">
        <v>4.8206202353526066</v>
      </c>
      <c r="DH174" s="399">
        <v>0</v>
      </c>
      <c r="DI174" s="399">
        <v>-43.144697201032727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-5.2135978474400417</v>
      </c>
      <c r="DP174" s="399">
        <v>-1.3333650373079138</v>
      </c>
      <c r="DQ174" s="399">
        <v>0</v>
      </c>
      <c r="DR174" s="399">
        <v>0</v>
      </c>
      <c r="DS174" s="399"/>
      <c r="DT174" s="399"/>
      <c r="DU174" s="399"/>
      <c r="DV174" s="399">
        <v>4391.5710530019514</v>
      </c>
      <c r="DW174" s="399">
        <v>0</v>
      </c>
      <c r="DX174" s="399">
        <v>0</v>
      </c>
      <c r="DY174" s="399">
        <v>-1907.1620900000007</v>
      </c>
      <c r="DZ174" s="399">
        <v>472.14377999999988</v>
      </c>
      <c r="EA174" s="399">
        <v>0</v>
      </c>
      <c r="EB174" s="399">
        <v>0</v>
      </c>
      <c r="EC174" s="399">
        <v>-1926.8997596292716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216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954</v>
      </c>
      <c r="C175" s="399" t="s">
        <v>2352</v>
      </c>
      <c r="D175" s="399" t="s">
        <v>1824</v>
      </c>
      <c r="E175" s="399" t="s">
        <v>2369</v>
      </c>
      <c r="F175" s="399" t="s">
        <v>1237</v>
      </c>
      <c r="G175" s="399" t="s">
        <v>1237</v>
      </c>
      <c r="H175" s="399" t="s">
        <v>1237</v>
      </c>
      <c r="I175" s="399" t="s">
        <v>1237</v>
      </c>
      <c r="J175" s="399" t="s">
        <v>2353</v>
      </c>
      <c r="K175" s="789">
        <v>44562</v>
      </c>
      <c r="L175" s="399">
        <v>0</v>
      </c>
      <c r="M175" s="399">
        <v>0</v>
      </c>
      <c r="N175" s="399">
        <v>2.82</v>
      </c>
      <c r="O175" s="399">
        <v>2.82</v>
      </c>
      <c r="P175" s="399">
        <v>2.82</v>
      </c>
      <c r="Q175" s="399">
        <v>2.82</v>
      </c>
      <c r="R175" s="399"/>
      <c r="S175" s="399">
        <v>415.98</v>
      </c>
      <c r="T175" s="399">
        <v>215.17</v>
      </c>
      <c r="U175" s="399"/>
      <c r="V175" s="399">
        <v>1779.8429999999998</v>
      </c>
      <c r="W175" s="399">
        <v>1779.8429999999998</v>
      </c>
      <c r="X175" s="399">
        <v>1546.8827999999999</v>
      </c>
      <c r="Y175" s="399">
        <v>0</v>
      </c>
      <c r="Z175" s="399">
        <v>172.2642066256079</v>
      </c>
      <c r="AA175" s="399">
        <v>0</v>
      </c>
      <c r="AB175" s="399">
        <v>0</v>
      </c>
      <c r="AC175" s="399">
        <v>0</v>
      </c>
      <c r="AD175" s="399">
        <v>251.86992828238172</v>
      </c>
      <c r="AE175" s="399">
        <v>712.9255868669336</v>
      </c>
      <c r="AF175" s="399">
        <v>594.34866398874397</v>
      </c>
      <c r="AG175" s="399">
        <v>12.427667906634603</v>
      </c>
      <c r="AH175" s="399">
        <v>0</v>
      </c>
      <c r="AI175" s="399">
        <v>0</v>
      </c>
      <c r="AJ175" s="399">
        <v>0</v>
      </c>
      <c r="AK175" s="399">
        <v>0</v>
      </c>
      <c r="AL175" s="399">
        <v>26.619238727840703</v>
      </c>
      <c r="AM175" s="399"/>
      <c r="AN175" s="399">
        <v>3.3202608903299562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6.0684554118897616</v>
      </c>
      <c r="BH175" s="399">
        <v>0</v>
      </c>
      <c r="BI175" s="399">
        <v>0</v>
      </c>
      <c r="BJ175" s="399">
        <v>0</v>
      </c>
      <c r="BK175" s="399">
        <v>649.1</v>
      </c>
      <c r="BL175" s="399">
        <v>1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600.41711940063374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1546.8827999999999</v>
      </c>
      <c r="CJ175" s="399">
        <v>-232.99019999999996</v>
      </c>
      <c r="CK175" s="399"/>
      <c r="CL175" s="399"/>
      <c r="CM175" s="399"/>
      <c r="CN175" s="399"/>
      <c r="CO175" s="399">
        <v>-309.60780000000005</v>
      </c>
      <c r="CP175" s="399">
        <v>76.647600000000011</v>
      </c>
      <c r="CQ175" s="399">
        <v>31</v>
      </c>
      <c r="CR175" s="399">
        <v>79.845180332945574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10.483375992602674</v>
      </c>
      <c r="DA175" s="399">
        <v>0</v>
      </c>
      <c r="DB175" s="399">
        <v>0</v>
      </c>
      <c r="DC175" s="399">
        <v>76.64614792322277</v>
      </c>
      <c r="DD175" s="399">
        <v>0</v>
      </c>
      <c r="DE175" s="399">
        <v>0</v>
      </c>
      <c r="DF175" s="399">
        <v>0</v>
      </c>
      <c r="DG175" s="399">
        <v>0.78257723007854096</v>
      </c>
      <c r="DH175" s="399">
        <v>0</v>
      </c>
      <c r="DI175" s="399">
        <v>-7.0040899261362313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-0.84637303147665577</v>
      </c>
      <c r="DP175" s="399">
        <v>-0.21645785534559403</v>
      </c>
      <c r="DQ175" s="399">
        <v>0</v>
      </c>
      <c r="DR175" s="399">
        <v>0</v>
      </c>
      <c r="DS175" s="399"/>
      <c r="DT175" s="399"/>
      <c r="DU175" s="399"/>
      <c r="DV175" s="399">
        <v>712.9255868669336</v>
      </c>
      <c r="DW175" s="399">
        <v>0</v>
      </c>
      <c r="DX175" s="399">
        <v>0</v>
      </c>
      <c r="DY175" s="399">
        <v>-309.6078</v>
      </c>
      <c r="DZ175" s="399">
        <v>76.647600000000011</v>
      </c>
      <c r="EA175" s="399">
        <v>0</v>
      </c>
      <c r="EB175" s="399">
        <v>0</v>
      </c>
      <c r="EC175" s="399">
        <v>-312.81200403860151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216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954</v>
      </c>
      <c r="C176" s="399" t="s">
        <v>2352</v>
      </c>
      <c r="D176" s="399" t="s">
        <v>2363</v>
      </c>
      <c r="E176" s="399" t="s">
        <v>892</v>
      </c>
      <c r="F176" s="399" t="s">
        <v>2370</v>
      </c>
      <c r="G176" s="399" t="s">
        <v>2371</v>
      </c>
      <c r="H176" s="399" t="s">
        <v>1237</v>
      </c>
      <c r="I176" s="399" t="s">
        <v>1237</v>
      </c>
      <c r="J176" s="399" t="s">
        <v>2353</v>
      </c>
      <c r="K176" s="789">
        <v>44562</v>
      </c>
      <c r="L176" s="399">
        <v>0</v>
      </c>
      <c r="M176" s="399">
        <v>0</v>
      </c>
      <c r="N176" s="399">
        <v>0</v>
      </c>
      <c r="O176" s="399">
        <v>0</v>
      </c>
      <c r="P176" s="399">
        <v>0</v>
      </c>
      <c r="Q176" s="399">
        <v>0</v>
      </c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>
        <v>0</v>
      </c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399"/>
      <c r="AL176" s="399"/>
      <c r="AM176" s="399"/>
      <c r="AN176" s="399"/>
      <c r="AO176" s="399"/>
      <c r="AP176" s="399"/>
      <c r="AQ176" s="399"/>
      <c r="AR176" s="399"/>
      <c r="AS176" s="399"/>
      <c r="AT176" s="399"/>
      <c r="AU176" s="399"/>
      <c r="AV176" s="399"/>
      <c r="AW176" s="399"/>
      <c r="AX176" s="399"/>
      <c r="AY176" s="399"/>
      <c r="AZ176" s="399">
        <v>0</v>
      </c>
      <c r="BA176" s="399"/>
      <c r="BB176" s="399"/>
      <c r="BC176" s="399"/>
      <c r="BD176" s="399"/>
      <c r="BE176" s="399"/>
      <c r="BF176" s="399"/>
      <c r="BG176" s="399"/>
      <c r="BH176" s="399"/>
      <c r="BI176" s="399">
        <v>0</v>
      </c>
      <c r="BJ176" s="399">
        <v>0</v>
      </c>
      <c r="BK176" s="399">
        <v>6360.45</v>
      </c>
      <c r="BL176" s="399">
        <v>41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/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/>
      <c r="CJ176" s="399">
        <v>-0.03</v>
      </c>
      <c r="CK176" s="399"/>
      <c r="CL176" s="399"/>
      <c r="CM176" s="399"/>
      <c r="CN176" s="399"/>
      <c r="CO176" s="399">
        <v>0</v>
      </c>
      <c r="CP176" s="399">
        <v>0</v>
      </c>
      <c r="CQ176" s="399">
        <v>31</v>
      </c>
      <c r="CR176" s="399"/>
      <c r="CS176" s="399"/>
      <c r="CT176" s="399"/>
      <c r="CU176" s="399"/>
      <c r="CV176" s="399"/>
      <c r="CW176" s="399"/>
      <c r="CX176" s="399"/>
      <c r="CY176" s="399"/>
      <c r="CZ176" s="399"/>
      <c r="DA176" s="399"/>
      <c r="DB176" s="399"/>
      <c r="DC176" s="399"/>
      <c r="DD176" s="399"/>
      <c r="DE176" s="399"/>
      <c r="DF176" s="399"/>
      <c r="DG176" s="399"/>
      <c r="DH176" s="399"/>
      <c r="DI176" s="399"/>
      <c r="DJ176" s="399"/>
      <c r="DK176" s="399">
        <v>0</v>
      </c>
      <c r="DL176" s="399"/>
      <c r="DM176" s="399"/>
      <c r="DN176" s="399"/>
      <c r="DO176" s="399"/>
      <c r="DP176" s="399"/>
      <c r="DQ176" s="399"/>
      <c r="DR176" s="399"/>
      <c r="DS176" s="399"/>
      <c r="DT176" s="399"/>
      <c r="DU176" s="399"/>
      <c r="DV176" s="399"/>
      <c r="DW176" s="399"/>
      <c r="DX176" s="399"/>
      <c r="DY176" s="399"/>
      <c r="DZ176" s="399"/>
      <c r="EA176" s="399"/>
      <c r="EB176" s="399"/>
      <c r="EC176" s="399"/>
      <c r="ED176" s="399"/>
      <c r="EE176" s="399"/>
      <c r="EF176" s="399"/>
      <c r="EG176" s="399"/>
      <c r="EH176" s="399"/>
      <c r="EI176" s="399"/>
      <c r="EJ176" s="399"/>
      <c r="EK176" s="399"/>
      <c r="EL176" s="399"/>
      <c r="EM176" s="399"/>
      <c r="EN176" s="399"/>
      <c r="EO176" s="399"/>
      <c r="EP176" s="399"/>
      <c r="EQ176" s="399"/>
      <c r="ER176" s="399"/>
      <c r="ES176" s="399"/>
      <c r="ET176" s="399"/>
      <c r="EU176" s="399"/>
      <c r="EV176" s="399">
        <v>216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2354</v>
      </c>
      <c r="C177" s="399" t="s">
        <v>2352</v>
      </c>
      <c r="D177" s="399" t="s">
        <v>2363</v>
      </c>
      <c r="E177" s="399" t="s">
        <v>892</v>
      </c>
      <c r="F177" s="399" t="s">
        <v>2370</v>
      </c>
      <c r="G177" s="399" t="s">
        <v>2371</v>
      </c>
      <c r="H177" s="399" t="s">
        <v>1237</v>
      </c>
      <c r="I177" s="399" t="s">
        <v>1237</v>
      </c>
      <c r="J177" s="399" t="s">
        <v>2353</v>
      </c>
      <c r="K177" s="789">
        <v>44562</v>
      </c>
      <c r="L177" s="399">
        <v>0</v>
      </c>
      <c r="M177" s="399">
        <v>0</v>
      </c>
      <c r="N177" s="399">
        <v>0</v>
      </c>
      <c r="O177" s="399">
        <v>0</v>
      </c>
      <c r="P177" s="399">
        <v>0</v>
      </c>
      <c r="Q177" s="399">
        <v>0</v>
      </c>
      <c r="R177" s="399"/>
      <c r="S177" s="399"/>
      <c r="T177" s="399"/>
      <c r="U177" s="399"/>
      <c r="V177" s="399"/>
      <c r="W177" s="399"/>
      <c r="X177" s="399"/>
      <c r="Y177" s="399"/>
      <c r="Z177" s="399"/>
      <c r="AA177" s="399">
        <v>0</v>
      </c>
      <c r="AB177" s="399"/>
      <c r="AC177" s="399"/>
      <c r="AD177" s="399"/>
      <c r="AE177" s="399"/>
      <c r="AF177" s="399"/>
      <c r="AG177" s="399"/>
      <c r="AH177" s="399"/>
      <c r="AI177" s="399"/>
      <c r="AJ177" s="399"/>
      <c r="AK177" s="399"/>
      <c r="AL177" s="399"/>
      <c r="AM177" s="399"/>
      <c r="AN177" s="399"/>
      <c r="AO177" s="399"/>
      <c r="AP177" s="399"/>
      <c r="AQ177" s="399"/>
      <c r="AR177" s="399"/>
      <c r="AS177" s="399"/>
      <c r="AT177" s="399"/>
      <c r="AU177" s="399"/>
      <c r="AV177" s="399"/>
      <c r="AW177" s="399"/>
      <c r="AX177" s="399"/>
      <c r="AY177" s="399"/>
      <c r="AZ177" s="399">
        <v>0</v>
      </c>
      <c r="BA177" s="399"/>
      <c r="BB177" s="399"/>
      <c r="BC177" s="399"/>
      <c r="BD177" s="399"/>
      <c r="BE177" s="399"/>
      <c r="BF177" s="399"/>
      <c r="BG177" s="399"/>
      <c r="BH177" s="399"/>
      <c r="BI177" s="399">
        <v>0</v>
      </c>
      <c r="BJ177" s="399">
        <v>0</v>
      </c>
      <c r="BK177" s="399">
        <v>-1013.72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/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/>
      <c r="CJ177" s="399">
        <v>-0.03</v>
      </c>
      <c r="CK177" s="399"/>
      <c r="CL177" s="399"/>
      <c r="CM177" s="399"/>
      <c r="CN177" s="399"/>
      <c r="CO177" s="399">
        <v>0</v>
      </c>
      <c r="CP177" s="399">
        <v>0</v>
      </c>
      <c r="CQ177" s="399">
        <v>31</v>
      </c>
      <c r="CR177" s="399"/>
      <c r="CS177" s="399"/>
      <c r="CT177" s="399"/>
      <c r="CU177" s="399"/>
      <c r="CV177" s="399"/>
      <c r="CW177" s="399"/>
      <c r="CX177" s="399"/>
      <c r="CY177" s="399"/>
      <c r="CZ177" s="399"/>
      <c r="DA177" s="399"/>
      <c r="DB177" s="399"/>
      <c r="DC177" s="399"/>
      <c r="DD177" s="399"/>
      <c r="DE177" s="399"/>
      <c r="DF177" s="399"/>
      <c r="DG177" s="399"/>
      <c r="DH177" s="399"/>
      <c r="DI177" s="399"/>
      <c r="DJ177" s="399"/>
      <c r="DK177" s="399">
        <v>0</v>
      </c>
      <c r="DL177" s="399"/>
      <c r="DM177" s="399"/>
      <c r="DN177" s="399"/>
      <c r="DO177" s="399"/>
      <c r="DP177" s="399"/>
      <c r="DQ177" s="399"/>
      <c r="DR177" s="399"/>
      <c r="DS177" s="399"/>
      <c r="DT177" s="399"/>
      <c r="DU177" s="399"/>
      <c r="DV177" s="399"/>
      <c r="DW177" s="399"/>
      <c r="DX177" s="399"/>
      <c r="DY177" s="399"/>
      <c r="DZ177" s="399"/>
      <c r="EA177" s="399"/>
      <c r="EB177" s="399"/>
      <c r="EC177" s="399"/>
      <c r="ED177" s="399"/>
      <c r="EE177" s="399"/>
      <c r="EF177" s="399"/>
      <c r="EG177" s="399"/>
      <c r="EH177" s="399"/>
      <c r="EI177" s="399"/>
      <c r="EJ177" s="399"/>
      <c r="EK177" s="399"/>
      <c r="EL177" s="399"/>
      <c r="EM177" s="399"/>
      <c r="EN177" s="399"/>
      <c r="EO177" s="399"/>
      <c r="EP177" s="399"/>
      <c r="EQ177" s="399"/>
      <c r="ER177" s="399"/>
      <c r="ES177" s="399"/>
      <c r="ET177" s="399"/>
      <c r="EU177" s="399"/>
      <c r="EV177" s="399">
        <v>216</v>
      </c>
      <c r="EW177" s="399"/>
      <c r="EX177" s="399"/>
      <c r="EY177" s="399"/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2355</v>
      </c>
      <c r="C178" s="399" t="s">
        <v>2352</v>
      </c>
      <c r="D178" s="399" t="s">
        <v>2363</v>
      </c>
      <c r="E178" s="399" t="s">
        <v>892</v>
      </c>
      <c r="F178" s="399" t="s">
        <v>2370</v>
      </c>
      <c r="G178" s="399" t="s">
        <v>2371</v>
      </c>
      <c r="H178" s="399" t="s">
        <v>1237</v>
      </c>
      <c r="I178" s="399" t="s">
        <v>1237</v>
      </c>
      <c r="J178" s="399" t="s">
        <v>2353</v>
      </c>
      <c r="K178" s="789">
        <v>44562</v>
      </c>
      <c r="L178" s="399">
        <v>0</v>
      </c>
      <c r="M178" s="399">
        <v>0</v>
      </c>
      <c r="N178" s="399">
        <v>0</v>
      </c>
      <c r="O178" s="399">
        <v>0</v>
      </c>
      <c r="P178" s="399">
        <v>0</v>
      </c>
      <c r="Q178" s="399">
        <v>0</v>
      </c>
      <c r="R178" s="399"/>
      <c r="S178" s="399"/>
      <c r="T178" s="399"/>
      <c r="U178" s="399"/>
      <c r="V178" s="399"/>
      <c r="W178" s="399"/>
      <c r="X178" s="399"/>
      <c r="Y178" s="399"/>
      <c r="Z178" s="399"/>
      <c r="AA178" s="399">
        <v>0</v>
      </c>
      <c r="AB178" s="399"/>
      <c r="AC178" s="399"/>
      <c r="AD178" s="399"/>
      <c r="AE178" s="399"/>
      <c r="AF178" s="399"/>
      <c r="AG178" s="399"/>
      <c r="AH178" s="399"/>
      <c r="AI178" s="399"/>
      <c r="AJ178" s="399"/>
      <c r="AK178" s="399"/>
      <c r="AL178" s="399"/>
      <c r="AM178" s="399"/>
      <c r="AN178" s="399"/>
      <c r="AO178" s="399"/>
      <c r="AP178" s="399"/>
      <c r="AQ178" s="399"/>
      <c r="AR178" s="399"/>
      <c r="AS178" s="399"/>
      <c r="AT178" s="399"/>
      <c r="AU178" s="399"/>
      <c r="AV178" s="399"/>
      <c r="AW178" s="399"/>
      <c r="AX178" s="399"/>
      <c r="AY178" s="399"/>
      <c r="AZ178" s="399">
        <v>0</v>
      </c>
      <c r="BA178" s="399"/>
      <c r="BB178" s="399"/>
      <c r="BC178" s="399"/>
      <c r="BD178" s="399"/>
      <c r="BE178" s="399"/>
      <c r="BF178" s="399"/>
      <c r="BG178" s="399"/>
      <c r="BH178" s="399"/>
      <c r="BI178" s="399">
        <v>0</v>
      </c>
      <c r="BJ178" s="399">
        <v>0</v>
      </c>
      <c r="BK178" s="399">
        <v>59.12</v>
      </c>
      <c r="BL178" s="399">
        <v>1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/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/>
      <c r="CJ178" s="399">
        <v>-0.03</v>
      </c>
      <c r="CK178" s="399"/>
      <c r="CL178" s="399"/>
      <c r="CM178" s="399"/>
      <c r="CN178" s="399"/>
      <c r="CO178" s="399">
        <v>0</v>
      </c>
      <c r="CP178" s="399">
        <v>0</v>
      </c>
      <c r="CQ178" s="399">
        <v>31</v>
      </c>
      <c r="CR178" s="399"/>
      <c r="CS178" s="399"/>
      <c r="CT178" s="399"/>
      <c r="CU178" s="399"/>
      <c r="CV178" s="399"/>
      <c r="CW178" s="399"/>
      <c r="CX178" s="399"/>
      <c r="CY178" s="399"/>
      <c r="CZ178" s="399"/>
      <c r="DA178" s="399"/>
      <c r="DB178" s="399"/>
      <c r="DC178" s="399"/>
      <c r="DD178" s="399"/>
      <c r="DE178" s="399"/>
      <c r="DF178" s="399"/>
      <c r="DG178" s="399"/>
      <c r="DH178" s="399"/>
      <c r="DI178" s="399"/>
      <c r="DJ178" s="399"/>
      <c r="DK178" s="399">
        <v>0</v>
      </c>
      <c r="DL178" s="399"/>
      <c r="DM178" s="399"/>
      <c r="DN178" s="399"/>
      <c r="DO178" s="399"/>
      <c r="DP178" s="399"/>
      <c r="DQ178" s="399"/>
      <c r="DR178" s="399"/>
      <c r="DS178" s="399"/>
      <c r="DT178" s="399"/>
      <c r="DU178" s="399"/>
      <c r="DV178" s="399"/>
      <c r="DW178" s="399"/>
      <c r="DX178" s="399"/>
      <c r="DY178" s="399"/>
      <c r="DZ178" s="399"/>
      <c r="EA178" s="399"/>
      <c r="EB178" s="399"/>
      <c r="EC178" s="399"/>
      <c r="ED178" s="399"/>
      <c r="EE178" s="399"/>
      <c r="EF178" s="399"/>
      <c r="EG178" s="399"/>
      <c r="EH178" s="399"/>
      <c r="EI178" s="399"/>
      <c r="EJ178" s="399"/>
      <c r="EK178" s="399"/>
      <c r="EL178" s="399"/>
      <c r="EM178" s="399"/>
      <c r="EN178" s="399"/>
      <c r="EO178" s="399"/>
      <c r="EP178" s="399"/>
      <c r="EQ178" s="399"/>
      <c r="ER178" s="399"/>
      <c r="ES178" s="399"/>
      <c r="ET178" s="399"/>
      <c r="EU178" s="399"/>
      <c r="EV178" s="399">
        <v>216</v>
      </c>
      <c r="EW178" s="399"/>
      <c r="EX178" s="399"/>
      <c r="EY178" s="399"/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954</v>
      </c>
      <c r="C179" s="399" t="s">
        <v>2352</v>
      </c>
      <c r="D179" s="399" t="s">
        <v>2363</v>
      </c>
      <c r="E179" s="399" t="s">
        <v>892</v>
      </c>
      <c r="F179" s="399" t="s">
        <v>2370</v>
      </c>
      <c r="G179" s="399" t="s">
        <v>2371</v>
      </c>
      <c r="H179" s="399" t="s">
        <v>1237</v>
      </c>
      <c r="I179" s="399" t="s">
        <v>1237</v>
      </c>
      <c r="J179" s="399" t="s">
        <v>2353</v>
      </c>
      <c r="K179" s="789">
        <v>44562</v>
      </c>
      <c r="L179" s="399">
        <v>0</v>
      </c>
      <c r="M179" s="399">
        <v>0</v>
      </c>
      <c r="N179" s="399">
        <v>19.024999999999999</v>
      </c>
      <c r="O179" s="399">
        <v>19.024999999999999</v>
      </c>
      <c r="P179" s="399">
        <v>19.024999999999999</v>
      </c>
      <c r="Q179" s="399">
        <v>19.024999999999999</v>
      </c>
      <c r="R179" s="399"/>
      <c r="S179" s="399">
        <v>415.98</v>
      </c>
      <c r="T179" s="399">
        <v>215.17</v>
      </c>
      <c r="U179" s="399"/>
      <c r="V179" s="399">
        <v>12007.62875</v>
      </c>
      <c r="W179" s="399">
        <v>12007.62875</v>
      </c>
      <c r="X179" s="399">
        <v>10435.9735</v>
      </c>
      <c r="Y179" s="399">
        <v>0</v>
      </c>
      <c r="Z179" s="399">
        <v>1162.1725287419115</v>
      </c>
      <c r="AA179" s="399">
        <v>0</v>
      </c>
      <c r="AB179" s="399">
        <v>0</v>
      </c>
      <c r="AC179" s="399">
        <v>0</v>
      </c>
      <c r="AD179" s="399">
        <v>1699.2288601320256</v>
      </c>
      <c r="AE179" s="399">
        <v>4809.7196064338341</v>
      </c>
      <c r="AF179" s="399">
        <v>4009.7458625481754</v>
      </c>
      <c r="AG179" s="399">
        <v>83.842688625433809</v>
      </c>
      <c r="AH179" s="399">
        <v>0</v>
      </c>
      <c r="AI179" s="399">
        <v>0</v>
      </c>
      <c r="AJ179" s="399">
        <v>0</v>
      </c>
      <c r="AK179" s="399">
        <v>0</v>
      </c>
      <c r="AL179" s="399">
        <v>179.58546694935083</v>
      </c>
      <c r="AM179" s="399"/>
      <c r="AN179" s="399">
        <v>22.3999870349388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40.94055468482366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>
        <v>1252.2254999999998</v>
      </c>
      <c r="BS179" s="399"/>
      <c r="BT179" s="399"/>
      <c r="BU179" s="399"/>
      <c r="BV179" s="399">
        <v>4050.6864172329992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9186.1615999999995</v>
      </c>
      <c r="CJ179" s="399">
        <v>-1380.5436499999996</v>
      </c>
      <c r="CK179" s="399"/>
      <c r="CL179" s="399"/>
      <c r="CM179" s="399"/>
      <c r="CN179" s="399"/>
      <c r="CO179" s="399">
        <v>-2088.7547500000001</v>
      </c>
      <c r="CP179" s="399">
        <v>517.09950000000003</v>
      </c>
      <c r="CQ179" s="399">
        <v>31</v>
      </c>
      <c r="CR179" s="399">
        <v>538.67182831003083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70.72561285789584</v>
      </c>
      <c r="DA179" s="399">
        <v>0</v>
      </c>
      <c r="DB179" s="399">
        <v>0</v>
      </c>
      <c r="DC179" s="399">
        <v>517.08970363096205</v>
      </c>
      <c r="DD179" s="399">
        <v>0</v>
      </c>
      <c r="DE179" s="399">
        <v>0</v>
      </c>
      <c r="DF179" s="399">
        <v>0</v>
      </c>
      <c r="DG179" s="399">
        <v>5.2796212064695851</v>
      </c>
      <c r="DH179" s="399">
        <v>0</v>
      </c>
      <c r="DI179" s="399">
        <v>-47.252769803099909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-5.7100166396607506</v>
      </c>
      <c r="DP179" s="399">
        <v>-1.4603229425354343</v>
      </c>
      <c r="DQ179" s="399">
        <v>0</v>
      </c>
      <c r="DR179" s="399">
        <v>0</v>
      </c>
      <c r="DS179" s="399"/>
      <c r="DT179" s="399"/>
      <c r="DU179" s="399"/>
      <c r="DV179" s="399">
        <v>4809.7196064338341</v>
      </c>
      <c r="DW179" s="399">
        <v>0</v>
      </c>
      <c r="DX179" s="399">
        <v>0</v>
      </c>
      <c r="DY179" s="399">
        <v>-2088.7547500000001</v>
      </c>
      <c r="DZ179" s="399">
        <v>517.09950000000026</v>
      </c>
      <c r="EA179" s="399">
        <v>0</v>
      </c>
      <c r="EB179" s="399">
        <v>0</v>
      </c>
      <c r="EC179" s="399">
        <v>-2110.3717648348916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216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2354</v>
      </c>
      <c r="C180" s="399" t="s">
        <v>2352</v>
      </c>
      <c r="D180" s="399" t="s">
        <v>2363</v>
      </c>
      <c r="E180" s="399" t="s">
        <v>892</v>
      </c>
      <c r="F180" s="399" t="s">
        <v>2370</v>
      </c>
      <c r="G180" s="399" t="s">
        <v>2371</v>
      </c>
      <c r="H180" s="399" t="s">
        <v>1237</v>
      </c>
      <c r="I180" s="399" t="s">
        <v>1237</v>
      </c>
      <c r="J180" s="399" t="s">
        <v>2353</v>
      </c>
      <c r="K180" s="789">
        <v>44562</v>
      </c>
      <c r="L180" s="399">
        <v>0</v>
      </c>
      <c r="M180" s="399">
        <v>0</v>
      </c>
      <c r="N180" s="399">
        <v>-3.2789999999999999</v>
      </c>
      <c r="O180" s="399">
        <v>-3.2789999999999999</v>
      </c>
      <c r="P180" s="399">
        <v>-3.2789999999999999</v>
      </c>
      <c r="Q180" s="399">
        <v>-3.2789999999999999</v>
      </c>
      <c r="R180" s="399"/>
      <c r="S180" s="399">
        <v>415.98</v>
      </c>
      <c r="T180" s="399">
        <v>215.17</v>
      </c>
      <c r="U180" s="399"/>
      <c r="V180" s="399">
        <v>-2069.5408500000003</v>
      </c>
      <c r="W180" s="399">
        <v>-2069.5408500000003</v>
      </c>
      <c r="X180" s="399">
        <v>-1798.66266</v>
      </c>
      <c r="Y180" s="399">
        <v>0</v>
      </c>
      <c r="Z180" s="399">
        <v>-200.30295515083984</v>
      </c>
      <c r="AA180" s="399">
        <v>0</v>
      </c>
      <c r="AB180" s="399">
        <v>0</v>
      </c>
      <c r="AC180" s="399">
        <v>0</v>
      </c>
      <c r="AD180" s="399">
        <v>-292.86577831132257</v>
      </c>
      <c r="AE180" s="399">
        <v>-828.96560260165791</v>
      </c>
      <c r="AF180" s="399">
        <v>-691.08839334010349</v>
      </c>
      <c r="AG180" s="399">
        <v>-14.45046917228896</v>
      </c>
      <c r="AH180" s="399">
        <v>0</v>
      </c>
      <c r="AI180" s="399">
        <v>0</v>
      </c>
      <c r="AJ180" s="399">
        <v>0</v>
      </c>
      <c r="AK180" s="399">
        <v>0</v>
      </c>
      <c r="AL180" s="399">
        <v>-30.951944605882858</v>
      </c>
      <c r="AM180" s="399"/>
      <c r="AN180" s="399">
        <v>-3.8606863331177044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-7.056193367229266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>
        <v>-215.82377999999997</v>
      </c>
      <c r="BS180" s="399"/>
      <c r="BT180" s="399"/>
      <c r="BU180" s="399"/>
      <c r="BV180" s="399">
        <v>-698.14458670733279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-1583.3215999999998</v>
      </c>
      <c r="CJ180" s="399">
        <v>237.83779000000027</v>
      </c>
      <c r="CK180" s="399"/>
      <c r="CL180" s="399"/>
      <c r="CM180" s="399"/>
      <c r="CN180" s="399"/>
      <c r="CO180" s="399">
        <v>360.00141000000008</v>
      </c>
      <c r="CP180" s="399">
        <v>-89.123220000000018</v>
      </c>
      <c r="CQ180" s="399">
        <v>31</v>
      </c>
      <c r="CR180" s="399">
        <v>-92.841257557350445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-12.189712723313562</v>
      </c>
      <c r="DA180" s="399">
        <v>0</v>
      </c>
      <c r="DB180" s="399">
        <v>0</v>
      </c>
      <c r="DC180" s="399">
        <v>-89.121531574555661</v>
      </c>
      <c r="DD180" s="399">
        <v>0</v>
      </c>
      <c r="DE180" s="399">
        <v>0</v>
      </c>
      <c r="DF180" s="399">
        <v>0</v>
      </c>
      <c r="DG180" s="399">
        <v>-0.90995416220834624</v>
      </c>
      <c r="DH180" s="399">
        <v>0</v>
      </c>
      <c r="DI180" s="399">
        <v>8.1441173290073436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0.98413374830210643</v>
      </c>
      <c r="DP180" s="399">
        <v>0.25168982541780238</v>
      </c>
      <c r="DQ180" s="399">
        <v>0</v>
      </c>
      <c r="DR180" s="399">
        <v>0</v>
      </c>
      <c r="DS180" s="399"/>
      <c r="DT180" s="399"/>
      <c r="DU180" s="399"/>
      <c r="DV180" s="399">
        <v>-828.96560260165791</v>
      </c>
      <c r="DW180" s="399">
        <v>0</v>
      </c>
      <c r="DX180" s="399">
        <v>0</v>
      </c>
      <c r="DY180" s="399">
        <v>360.00141000000019</v>
      </c>
      <c r="DZ180" s="399">
        <v>-89.123219999999947</v>
      </c>
      <c r="EA180" s="399">
        <v>0</v>
      </c>
      <c r="EB180" s="399">
        <v>0</v>
      </c>
      <c r="EC180" s="399">
        <v>363.72714937679939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216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2355</v>
      </c>
      <c r="C181" s="399" t="s">
        <v>2352</v>
      </c>
      <c r="D181" s="399" t="s">
        <v>2363</v>
      </c>
      <c r="E181" s="399" t="s">
        <v>892</v>
      </c>
      <c r="F181" s="399" t="s">
        <v>2370</v>
      </c>
      <c r="G181" s="399" t="s">
        <v>2371</v>
      </c>
      <c r="H181" s="399" t="s">
        <v>1237</v>
      </c>
      <c r="I181" s="399" t="s">
        <v>1237</v>
      </c>
      <c r="J181" s="399" t="s">
        <v>2353</v>
      </c>
      <c r="K181" s="789">
        <v>44562</v>
      </c>
      <c r="L181" s="399">
        <v>0</v>
      </c>
      <c r="M181" s="399">
        <v>0</v>
      </c>
      <c r="N181" s="399">
        <v>0.376</v>
      </c>
      <c r="O181" s="399">
        <v>0.376</v>
      </c>
      <c r="P181" s="399">
        <v>0.376</v>
      </c>
      <c r="Q181" s="399">
        <v>0.376</v>
      </c>
      <c r="R181" s="399"/>
      <c r="S181" s="399">
        <v>415.98</v>
      </c>
      <c r="T181" s="399">
        <v>215.17</v>
      </c>
      <c r="U181" s="399"/>
      <c r="V181" s="399">
        <v>237.3124</v>
      </c>
      <c r="W181" s="399">
        <v>237.3124</v>
      </c>
      <c r="X181" s="399">
        <v>206.25103999999999</v>
      </c>
      <c r="Y181" s="399">
        <v>0</v>
      </c>
      <c r="Z181" s="399">
        <v>22.968560883414387</v>
      </c>
      <c r="AA181" s="399">
        <v>0</v>
      </c>
      <c r="AB181" s="399">
        <v>0</v>
      </c>
      <c r="AC181" s="399">
        <v>0</v>
      </c>
      <c r="AD181" s="399">
        <v>33.582657104317562</v>
      </c>
      <c r="AE181" s="399">
        <v>95.056744915591153</v>
      </c>
      <c r="AF181" s="399">
        <v>79.24648853183254</v>
      </c>
      <c r="AG181" s="399">
        <v>1.6570223875512806</v>
      </c>
      <c r="AH181" s="399">
        <v>0</v>
      </c>
      <c r="AI181" s="399">
        <v>0</v>
      </c>
      <c r="AJ181" s="399">
        <v>0</v>
      </c>
      <c r="AK181" s="399">
        <v>0</v>
      </c>
      <c r="AL181" s="399">
        <v>3.5492318303787602</v>
      </c>
      <c r="AM181" s="399"/>
      <c r="AN181" s="399">
        <v>0.44270145204399419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0.80912738825196828</v>
      </c>
      <c r="BH181" s="399">
        <v>0</v>
      </c>
      <c r="BI181" s="399">
        <v>0</v>
      </c>
      <c r="BJ181" s="399">
        <v>0</v>
      </c>
      <c r="BK181" s="399">
        <v>0</v>
      </c>
      <c r="BL181" s="399">
        <v>0</v>
      </c>
      <c r="BM181" s="399"/>
      <c r="BN181" s="399"/>
      <c r="BO181" s="399"/>
      <c r="BP181" s="399"/>
      <c r="BQ181" s="399"/>
      <c r="BR181" s="399">
        <v>24.74832</v>
      </c>
      <c r="BS181" s="399"/>
      <c r="BT181" s="399"/>
      <c r="BU181" s="399"/>
      <c r="BV181" s="399">
        <v>80.055615920084506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183.43360000000001</v>
      </c>
      <c r="CJ181" s="399">
        <v>-25.430559999999957</v>
      </c>
      <c r="CK181" s="399"/>
      <c r="CL181" s="399"/>
      <c r="CM181" s="399"/>
      <c r="CN181" s="399"/>
      <c r="CO181" s="399">
        <v>-41.281040000000004</v>
      </c>
      <c r="CP181" s="399">
        <v>10.219680000000002</v>
      </c>
      <c r="CQ181" s="399">
        <v>31</v>
      </c>
      <c r="CR181" s="399">
        <v>10.646024044392732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1.3977834656803623</v>
      </c>
      <c r="DA181" s="399">
        <v>0</v>
      </c>
      <c r="DB181" s="399">
        <v>0</v>
      </c>
      <c r="DC181" s="399">
        <v>10.219486389763034</v>
      </c>
      <c r="DD181" s="399">
        <v>0</v>
      </c>
      <c r="DE181" s="399">
        <v>0</v>
      </c>
      <c r="DF181" s="399">
        <v>0</v>
      </c>
      <c r="DG181" s="399">
        <v>0.10434363067713881</v>
      </c>
      <c r="DH181" s="399">
        <v>0</v>
      </c>
      <c r="DI181" s="399">
        <v>-0.93387865681816251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-0.11284973753022021</v>
      </c>
      <c r="DP181" s="399">
        <v>-2.886104737941253E-2</v>
      </c>
      <c r="DQ181" s="399">
        <v>0</v>
      </c>
      <c r="DR181" s="399">
        <v>0</v>
      </c>
      <c r="DS181" s="399"/>
      <c r="DT181" s="399"/>
      <c r="DU181" s="399"/>
      <c r="DV181" s="399">
        <v>95.056744915591153</v>
      </c>
      <c r="DW181" s="399">
        <v>0</v>
      </c>
      <c r="DX181" s="399">
        <v>0</v>
      </c>
      <c r="DY181" s="399">
        <v>-41.281040000000004</v>
      </c>
      <c r="DZ181" s="399">
        <v>10.219679999999997</v>
      </c>
      <c r="EA181" s="399">
        <v>0</v>
      </c>
      <c r="EB181" s="399">
        <v>0</v>
      </c>
      <c r="EC181" s="399">
        <v>-41.708267205146868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216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954</v>
      </c>
      <c r="C182" s="399" t="s">
        <v>2352</v>
      </c>
      <c r="D182" s="399" t="s">
        <v>2363</v>
      </c>
      <c r="E182" s="399" t="s">
        <v>892</v>
      </c>
      <c r="F182" s="399" t="s">
        <v>2370</v>
      </c>
      <c r="G182" s="399" t="s">
        <v>2372</v>
      </c>
      <c r="H182" s="399" t="s">
        <v>1237</v>
      </c>
      <c r="I182" s="399" t="s">
        <v>1237</v>
      </c>
      <c r="J182" s="399" t="s">
        <v>2353</v>
      </c>
      <c r="K182" s="789">
        <v>44562</v>
      </c>
      <c r="L182" s="399">
        <v>0</v>
      </c>
      <c r="M182" s="399">
        <v>0</v>
      </c>
      <c r="N182" s="399">
        <v>16.582000000000001</v>
      </c>
      <c r="O182" s="399">
        <v>6.6327999999999996</v>
      </c>
      <c r="P182" s="399">
        <v>16.582000000000001</v>
      </c>
      <c r="Q182" s="399">
        <v>6.6327999999999996</v>
      </c>
      <c r="R182" s="399"/>
      <c r="S182" s="399">
        <v>415.98</v>
      </c>
      <c r="T182" s="399">
        <v>215.17</v>
      </c>
      <c r="U182" s="399"/>
      <c r="V182" s="399">
        <v>10465.729300000001</v>
      </c>
      <c r="W182" s="399">
        <v>10465.729300000001</v>
      </c>
      <c r="X182" s="399">
        <v>9095.8902799999996</v>
      </c>
      <c r="Y182" s="399">
        <v>0</v>
      </c>
      <c r="Z182" s="399">
        <v>1012.9379695978122</v>
      </c>
      <c r="AA182" s="399">
        <v>0</v>
      </c>
      <c r="AB182" s="399">
        <v>0</v>
      </c>
      <c r="AC182" s="399">
        <v>0</v>
      </c>
      <c r="AD182" s="399">
        <v>1481.0309045313666</v>
      </c>
      <c r="AE182" s="399">
        <v>4192.1035749742887</v>
      </c>
      <c r="AF182" s="399">
        <v>3494.8544490288491</v>
      </c>
      <c r="AG182" s="399">
        <v>73.076450080785463</v>
      </c>
      <c r="AH182" s="399">
        <v>0</v>
      </c>
      <c r="AI182" s="399">
        <v>0</v>
      </c>
      <c r="AJ182" s="399">
        <v>0</v>
      </c>
      <c r="AK182" s="399">
        <v>0</v>
      </c>
      <c r="AL182" s="399">
        <v>156.5248994982463</v>
      </c>
      <c r="AM182" s="399"/>
      <c r="AN182" s="399">
        <v>19.523604994131681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35.683378595729096</v>
      </c>
      <c r="BH182" s="399">
        <v>0</v>
      </c>
      <c r="BI182" s="399">
        <v>0</v>
      </c>
      <c r="BJ182" s="399">
        <v>0</v>
      </c>
      <c r="BK182" s="399">
        <v>0</v>
      </c>
      <c r="BL182" s="399">
        <v>0</v>
      </c>
      <c r="BM182" s="399"/>
      <c r="BN182" s="399"/>
      <c r="BO182" s="399"/>
      <c r="BP182" s="399"/>
      <c r="BQ182" s="399"/>
      <c r="BR182" s="399"/>
      <c r="BS182" s="399">
        <v>5894.1050640000003</v>
      </c>
      <c r="BT182" s="399"/>
      <c r="BU182" s="399"/>
      <c r="BV182" s="399">
        <v>3530.5378276245783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3200.4335999999998</v>
      </c>
      <c r="CJ182" s="399">
        <v>-483.51984800000037</v>
      </c>
      <c r="CK182" s="399"/>
      <c r="CL182" s="399"/>
      <c r="CM182" s="399"/>
      <c r="CN182" s="399"/>
      <c r="CO182" s="399">
        <v>-1820.5377800000003</v>
      </c>
      <c r="CP182" s="399">
        <v>450.69876000000011</v>
      </c>
      <c r="CQ182" s="399">
        <v>31</v>
      </c>
      <c r="CR182" s="399">
        <v>469.50098591521328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61.643737840190852</v>
      </c>
      <c r="DA182" s="399">
        <v>0</v>
      </c>
      <c r="DB182" s="399">
        <v>0</v>
      </c>
      <c r="DC182" s="399">
        <v>450.69022158258122</v>
      </c>
      <c r="DD182" s="399">
        <v>0</v>
      </c>
      <c r="DE182" s="399">
        <v>0</v>
      </c>
      <c r="DF182" s="399">
        <v>0</v>
      </c>
      <c r="DG182" s="399">
        <v>4.6016651167242415</v>
      </c>
      <c r="DH182" s="399">
        <v>0</v>
      </c>
      <c r="DI182" s="399">
        <v>-41.185042253613688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-4.9767934779949883</v>
      </c>
      <c r="DP182" s="399">
        <v>-1.2728028926739867</v>
      </c>
      <c r="DQ182" s="399">
        <v>0</v>
      </c>
      <c r="DR182" s="399">
        <v>0</v>
      </c>
      <c r="DS182" s="399"/>
      <c r="DT182" s="399"/>
      <c r="DU182" s="399"/>
      <c r="DV182" s="399">
        <v>4192.1035749742887</v>
      </c>
      <c r="DW182" s="399">
        <v>0</v>
      </c>
      <c r="DX182" s="399">
        <v>0</v>
      </c>
      <c r="DY182" s="399">
        <v>-1820.5377800000006</v>
      </c>
      <c r="DZ182" s="399">
        <v>450.69876000000022</v>
      </c>
      <c r="EA182" s="399">
        <v>0</v>
      </c>
      <c r="EB182" s="399">
        <v>0</v>
      </c>
      <c r="EC182" s="399">
        <v>-1839.3789542440036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216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2354</v>
      </c>
      <c r="C183" s="399" t="s">
        <v>2352</v>
      </c>
      <c r="D183" s="399" t="s">
        <v>2363</v>
      </c>
      <c r="E183" s="399" t="s">
        <v>892</v>
      </c>
      <c r="F183" s="399" t="s">
        <v>2370</v>
      </c>
      <c r="G183" s="399" t="s">
        <v>2372</v>
      </c>
      <c r="H183" s="399" t="s">
        <v>1237</v>
      </c>
      <c r="I183" s="399" t="s">
        <v>1237</v>
      </c>
      <c r="J183" s="399" t="s">
        <v>2353</v>
      </c>
      <c r="K183" s="789">
        <v>44562</v>
      </c>
      <c r="L183" s="399">
        <v>0</v>
      </c>
      <c r="M183" s="399">
        <v>0</v>
      </c>
      <c r="N183" s="399">
        <v>-1.125</v>
      </c>
      <c r="O183" s="399">
        <v>-0.45</v>
      </c>
      <c r="P183" s="399">
        <v>-1.125</v>
      </c>
      <c r="Q183" s="399">
        <v>-0.45</v>
      </c>
      <c r="R183" s="399"/>
      <c r="S183" s="399">
        <v>415.98</v>
      </c>
      <c r="T183" s="399">
        <v>215.17</v>
      </c>
      <c r="U183" s="399"/>
      <c r="V183" s="399">
        <v>-710.04375000000005</v>
      </c>
      <c r="W183" s="399">
        <v>-710.04375000000005</v>
      </c>
      <c r="X183" s="399">
        <v>-617.10750000000007</v>
      </c>
      <c r="Y183" s="399">
        <v>0</v>
      </c>
      <c r="Z183" s="399">
        <v>-68.722422855960602</v>
      </c>
      <c r="AA183" s="399">
        <v>0</v>
      </c>
      <c r="AB183" s="399">
        <v>0</v>
      </c>
      <c r="AC183" s="399">
        <v>0</v>
      </c>
      <c r="AD183" s="399">
        <v>-100.48002458073739</v>
      </c>
      <c r="AE183" s="399">
        <v>-284.41180327138312</v>
      </c>
      <c r="AF183" s="399">
        <v>-237.10717978274363</v>
      </c>
      <c r="AG183" s="399">
        <v>-4.9578462393489113</v>
      </c>
      <c r="AH183" s="399">
        <v>0</v>
      </c>
      <c r="AI183" s="399">
        <v>0</v>
      </c>
      <c r="AJ183" s="399">
        <v>0</v>
      </c>
      <c r="AK183" s="399">
        <v>0</v>
      </c>
      <c r="AL183" s="399">
        <v>-10.619377152064111</v>
      </c>
      <c r="AM183" s="399"/>
      <c r="AN183" s="399">
        <v>-1.3245721636954613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-2.4209263611262348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/>
      <c r="BR183" s="399"/>
      <c r="BS183" s="399">
        <v>-399.88349999999997</v>
      </c>
      <c r="BT183" s="399"/>
      <c r="BU183" s="399"/>
      <c r="BV183" s="399">
        <v>-239.52810614386988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-217.22399999999999</v>
      </c>
      <c r="CJ183" s="399">
        <v>32.680500000000052</v>
      </c>
      <c r="CK183" s="399"/>
      <c r="CL183" s="399"/>
      <c r="CM183" s="399"/>
      <c r="CN183" s="399"/>
      <c r="CO183" s="399">
        <v>123.51375000000002</v>
      </c>
      <c r="CP183" s="399">
        <v>-30.577500000000008</v>
      </c>
      <c r="CQ183" s="399">
        <v>31</v>
      </c>
      <c r="CR183" s="399">
        <v>-31.853130451973016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-4.1821978693893698</v>
      </c>
      <c r="DA183" s="399">
        <v>0</v>
      </c>
      <c r="DB183" s="399">
        <v>0</v>
      </c>
      <c r="DC183" s="399">
        <v>-30.576920714051653</v>
      </c>
      <c r="DD183" s="399">
        <v>0</v>
      </c>
      <c r="DE183" s="399">
        <v>0</v>
      </c>
      <c r="DF183" s="399">
        <v>0</v>
      </c>
      <c r="DG183" s="399">
        <v>-0.31219836306324789</v>
      </c>
      <c r="DH183" s="399">
        <v>0</v>
      </c>
      <c r="DI183" s="399">
        <v>2.7941848109585976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0.33764881574866479</v>
      </c>
      <c r="DP183" s="399">
        <v>8.6352867824040169E-2</v>
      </c>
      <c r="DQ183" s="399">
        <v>0</v>
      </c>
      <c r="DR183" s="399">
        <v>0</v>
      </c>
      <c r="DS183" s="399"/>
      <c r="DT183" s="399"/>
      <c r="DU183" s="399"/>
      <c r="DV183" s="399">
        <v>-284.41180327138312</v>
      </c>
      <c r="DW183" s="399">
        <v>0</v>
      </c>
      <c r="DX183" s="399">
        <v>0</v>
      </c>
      <c r="DY183" s="399">
        <v>123.51375000000002</v>
      </c>
      <c r="DZ183" s="399">
        <v>-30.577500000000015</v>
      </c>
      <c r="EA183" s="399">
        <v>0</v>
      </c>
      <c r="EB183" s="399">
        <v>0</v>
      </c>
      <c r="EC183" s="399">
        <v>124.79202288773999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216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2355</v>
      </c>
      <c r="C184" s="399" t="s">
        <v>2352</v>
      </c>
      <c r="D184" s="399" t="s">
        <v>2363</v>
      </c>
      <c r="E184" s="399" t="s">
        <v>892</v>
      </c>
      <c r="F184" s="399" t="s">
        <v>2370</v>
      </c>
      <c r="G184" s="399" t="s">
        <v>2372</v>
      </c>
      <c r="H184" s="399" t="s">
        <v>1237</v>
      </c>
      <c r="I184" s="399" t="s">
        <v>1237</v>
      </c>
      <c r="J184" s="399" t="s">
        <v>2353</v>
      </c>
      <c r="K184" s="789">
        <v>44562</v>
      </c>
      <c r="L184" s="399">
        <v>0</v>
      </c>
      <c r="M184" s="399">
        <v>0</v>
      </c>
      <c r="N184" s="399">
        <v>0.245</v>
      </c>
      <c r="O184" s="399">
        <v>9.8000000000000004E-2</v>
      </c>
      <c r="P184" s="399">
        <v>0.245</v>
      </c>
      <c r="Q184" s="399">
        <v>9.8000000000000004E-2</v>
      </c>
      <c r="R184" s="399"/>
      <c r="S184" s="399">
        <v>415.98</v>
      </c>
      <c r="T184" s="399">
        <v>215.17</v>
      </c>
      <c r="U184" s="399"/>
      <c r="V184" s="399">
        <v>154.63175000000001</v>
      </c>
      <c r="W184" s="399">
        <v>154.63175000000001</v>
      </c>
      <c r="X184" s="399">
        <v>134.39229999999998</v>
      </c>
      <c r="Y184" s="399">
        <v>0</v>
      </c>
      <c r="Z184" s="399">
        <v>14.966216533075864</v>
      </c>
      <c r="AA184" s="399">
        <v>0</v>
      </c>
      <c r="AB184" s="399">
        <v>0</v>
      </c>
      <c r="AC184" s="399">
        <v>0</v>
      </c>
      <c r="AD184" s="399">
        <v>21.882316464249474</v>
      </c>
      <c r="AE184" s="399">
        <v>61.938570490212321</v>
      </c>
      <c r="AF184" s="399">
        <v>51.636674708241948</v>
      </c>
      <c r="AG184" s="399">
        <v>1.0797087365693185</v>
      </c>
      <c r="AH184" s="399">
        <v>0</v>
      </c>
      <c r="AI184" s="399">
        <v>0</v>
      </c>
      <c r="AJ184" s="399">
        <v>0</v>
      </c>
      <c r="AK184" s="399">
        <v>0</v>
      </c>
      <c r="AL184" s="399">
        <v>2.3126643575606285</v>
      </c>
      <c r="AM184" s="399"/>
      <c r="AN184" s="399">
        <v>0.28846238231590043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0.52722396308971331</v>
      </c>
      <c r="BH184" s="399">
        <v>0</v>
      </c>
      <c r="BI184" s="399">
        <v>0</v>
      </c>
      <c r="BJ184" s="399">
        <v>0</v>
      </c>
      <c r="BK184" s="399">
        <v>0</v>
      </c>
      <c r="BL184" s="399">
        <v>0</v>
      </c>
      <c r="BM184" s="399"/>
      <c r="BN184" s="399"/>
      <c r="BO184" s="399"/>
      <c r="BP184" s="399"/>
      <c r="BQ184" s="399"/>
      <c r="BR184" s="399"/>
      <c r="BS184" s="399">
        <v>87.085740000000001</v>
      </c>
      <c r="BT184" s="399"/>
      <c r="BU184" s="399"/>
      <c r="BV184" s="399">
        <v>52.163898671331658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48.272000000000006</v>
      </c>
      <c r="CJ184" s="399">
        <v>-6.1881799999999885</v>
      </c>
      <c r="CK184" s="399"/>
      <c r="CL184" s="399"/>
      <c r="CM184" s="399"/>
      <c r="CN184" s="399"/>
      <c r="CO184" s="399">
        <v>-26.898550000000004</v>
      </c>
      <c r="CP184" s="399">
        <v>6.6591000000000014</v>
      </c>
      <c r="CQ184" s="399">
        <v>31</v>
      </c>
      <c r="CR184" s="399">
        <v>6.9369039650963487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0.91078975822257746</v>
      </c>
      <c r="DA184" s="399">
        <v>0</v>
      </c>
      <c r="DB184" s="399">
        <v>0</v>
      </c>
      <c r="DC184" s="399">
        <v>6.658973844393465</v>
      </c>
      <c r="DD184" s="399">
        <v>0</v>
      </c>
      <c r="DE184" s="399">
        <v>0</v>
      </c>
      <c r="DF184" s="399">
        <v>0</v>
      </c>
      <c r="DG184" s="399">
        <v>6.7989865733773969E-2</v>
      </c>
      <c r="DH184" s="399">
        <v>0</v>
      </c>
      <c r="DI184" s="399">
        <v>-0.60851135883098273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-7.3532408763042678E-2</v>
      </c>
      <c r="DP184" s="399">
        <v>-1.880573565945759E-2</v>
      </c>
      <c r="DQ184" s="399">
        <v>0</v>
      </c>
      <c r="DR184" s="399">
        <v>0</v>
      </c>
      <c r="DS184" s="399"/>
      <c r="DT184" s="399"/>
      <c r="DU184" s="399"/>
      <c r="DV184" s="399">
        <v>61.938570490212321</v>
      </c>
      <c r="DW184" s="399">
        <v>0</v>
      </c>
      <c r="DX184" s="399">
        <v>0</v>
      </c>
      <c r="DY184" s="399">
        <v>-26.898550000000014</v>
      </c>
      <c r="DZ184" s="399">
        <v>6.6591000000000022</v>
      </c>
      <c r="EA184" s="399">
        <v>0</v>
      </c>
      <c r="EB184" s="399">
        <v>0</v>
      </c>
      <c r="EC184" s="399">
        <v>-27.176929428885593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216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954</v>
      </c>
      <c r="C185" s="399" t="s">
        <v>2352</v>
      </c>
      <c r="D185" s="399" t="s">
        <v>2363</v>
      </c>
      <c r="E185" s="399" t="s">
        <v>892</v>
      </c>
      <c r="F185" s="399" t="s">
        <v>2373</v>
      </c>
      <c r="G185" s="399" t="s">
        <v>2371</v>
      </c>
      <c r="H185" s="399" t="s">
        <v>1237</v>
      </c>
      <c r="I185" s="399" t="s">
        <v>1237</v>
      </c>
      <c r="J185" s="399" t="s">
        <v>2353</v>
      </c>
      <c r="K185" s="789">
        <v>44562</v>
      </c>
      <c r="L185" s="399">
        <v>0</v>
      </c>
      <c r="M185" s="399">
        <v>0</v>
      </c>
      <c r="N185" s="399">
        <v>0</v>
      </c>
      <c r="O185" s="399">
        <v>0</v>
      </c>
      <c r="P185" s="399">
        <v>0</v>
      </c>
      <c r="Q185" s="399">
        <v>0</v>
      </c>
      <c r="R185" s="399"/>
      <c r="S185" s="399"/>
      <c r="T185" s="399"/>
      <c r="U185" s="399"/>
      <c r="V185" s="399"/>
      <c r="W185" s="399"/>
      <c r="X185" s="399"/>
      <c r="Y185" s="399"/>
      <c r="Z185" s="399"/>
      <c r="AA185" s="399">
        <v>0</v>
      </c>
      <c r="AB185" s="399"/>
      <c r="AC185" s="399"/>
      <c r="AD185" s="399"/>
      <c r="AE185" s="399"/>
      <c r="AF185" s="399"/>
      <c r="AG185" s="399"/>
      <c r="AH185" s="399"/>
      <c r="AI185" s="399"/>
      <c r="AJ185" s="399"/>
      <c r="AK185" s="399"/>
      <c r="AL185" s="399"/>
      <c r="AM185" s="399"/>
      <c r="AN185" s="399"/>
      <c r="AO185" s="399"/>
      <c r="AP185" s="399"/>
      <c r="AQ185" s="399"/>
      <c r="AR185" s="399"/>
      <c r="AS185" s="399"/>
      <c r="AT185" s="399"/>
      <c r="AU185" s="399"/>
      <c r="AV185" s="399"/>
      <c r="AW185" s="399"/>
      <c r="AX185" s="399"/>
      <c r="AY185" s="399"/>
      <c r="AZ185" s="399">
        <v>0</v>
      </c>
      <c r="BA185" s="399"/>
      <c r="BB185" s="399"/>
      <c r="BC185" s="399"/>
      <c r="BD185" s="399"/>
      <c r="BE185" s="399"/>
      <c r="BF185" s="399"/>
      <c r="BG185" s="399"/>
      <c r="BH185" s="399"/>
      <c r="BI185" s="399">
        <v>0</v>
      </c>
      <c r="BJ185" s="399">
        <v>0</v>
      </c>
      <c r="BK185" s="399">
        <v>838.09</v>
      </c>
      <c r="BL185" s="399">
        <v>2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/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/>
      <c r="CJ185" s="399">
        <v>-0.03</v>
      </c>
      <c r="CK185" s="399"/>
      <c r="CL185" s="399"/>
      <c r="CM185" s="399"/>
      <c r="CN185" s="399"/>
      <c r="CO185" s="399">
        <v>0</v>
      </c>
      <c r="CP185" s="399">
        <v>0</v>
      </c>
      <c r="CQ185" s="399">
        <v>31</v>
      </c>
      <c r="CR185" s="399"/>
      <c r="CS185" s="399"/>
      <c r="CT185" s="399"/>
      <c r="CU185" s="399"/>
      <c r="CV185" s="399"/>
      <c r="CW185" s="399"/>
      <c r="CX185" s="399"/>
      <c r="CY185" s="399"/>
      <c r="CZ185" s="399"/>
      <c r="DA185" s="399"/>
      <c r="DB185" s="399"/>
      <c r="DC185" s="399"/>
      <c r="DD185" s="399"/>
      <c r="DE185" s="399"/>
      <c r="DF185" s="399"/>
      <c r="DG185" s="399"/>
      <c r="DH185" s="399"/>
      <c r="DI185" s="399"/>
      <c r="DJ185" s="399"/>
      <c r="DK185" s="399">
        <v>0</v>
      </c>
      <c r="DL185" s="399"/>
      <c r="DM185" s="399"/>
      <c r="DN185" s="399"/>
      <c r="DO185" s="399"/>
      <c r="DP185" s="399"/>
      <c r="DQ185" s="399"/>
      <c r="DR185" s="399"/>
      <c r="DS185" s="399"/>
      <c r="DT185" s="399"/>
      <c r="DU185" s="399"/>
      <c r="DV185" s="399"/>
      <c r="DW185" s="399"/>
      <c r="DX185" s="399"/>
      <c r="DY185" s="399"/>
      <c r="DZ185" s="399"/>
      <c r="EA185" s="399"/>
      <c r="EB185" s="399"/>
      <c r="EC185" s="399"/>
      <c r="ED185" s="399"/>
      <c r="EE185" s="399"/>
      <c r="EF185" s="399"/>
      <c r="EG185" s="399"/>
      <c r="EH185" s="399"/>
      <c r="EI185" s="399"/>
      <c r="EJ185" s="399"/>
      <c r="EK185" s="399"/>
      <c r="EL185" s="399"/>
      <c r="EM185" s="399"/>
      <c r="EN185" s="399"/>
      <c r="EO185" s="399"/>
      <c r="EP185" s="399"/>
      <c r="EQ185" s="399"/>
      <c r="ER185" s="399"/>
      <c r="ES185" s="399"/>
      <c r="ET185" s="399"/>
      <c r="EU185" s="399"/>
      <c r="EV185" s="399">
        <v>216</v>
      </c>
      <c r="EW185" s="399"/>
      <c r="EX185" s="399"/>
      <c r="EY185" s="399"/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954</v>
      </c>
      <c r="C186" s="399" t="s">
        <v>2352</v>
      </c>
      <c r="D186" s="399" t="s">
        <v>2363</v>
      </c>
      <c r="E186" s="399" t="s">
        <v>892</v>
      </c>
      <c r="F186" s="399" t="s">
        <v>2373</v>
      </c>
      <c r="G186" s="399" t="s">
        <v>2371</v>
      </c>
      <c r="H186" s="399" t="s">
        <v>1237</v>
      </c>
      <c r="I186" s="399" t="s">
        <v>1237</v>
      </c>
      <c r="J186" s="399" t="s">
        <v>2353</v>
      </c>
      <c r="K186" s="789">
        <v>44562</v>
      </c>
      <c r="L186" s="399">
        <v>0</v>
      </c>
      <c r="M186" s="399">
        <v>0</v>
      </c>
      <c r="N186" s="399">
        <v>0.81200000000000006</v>
      </c>
      <c r="O186" s="399">
        <v>0.81200000000000006</v>
      </c>
      <c r="P186" s="399">
        <v>0.81200000000000006</v>
      </c>
      <c r="Q186" s="399">
        <v>0.81200000000000006</v>
      </c>
      <c r="R186" s="399"/>
      <c r="S186" s="399">
        <v>415.98</v>
      </c>
      <c r="T186" s="399">
        <v>215.17</v>
      </c>
      <c r="U186" s="399"/>
      <c r="V186" s="399">
        <v>512.49380000000008</v>
      </c>
      <c r="W186" s="399">
        <v>512.49380000000008</v>
      </c>
      <c r="X186" s="399">
        <v>445.41448000000003</v>
      </c>
      <c r="Y186" s="399">
        <v>0</v>
      </c>
      <c r="Z186" s="399">
        <v>49.602317652480011</v>
      </c>
      <c r="AA186" s="399">
        <v>0</v>
      </c>
      <c r="AB186" s="399">
        <v>0</v>
      </c>
      <c r="AC186" s="399">
        <v>0</v>
      </c>
      <c r="AD186" s="399">
        <v>72.524248852941128</v>
      </c>
      <c r="AE186" s="399">
        <v>205.28211933898942</v>
      </c>
      <c r="AF186" s="399">
        <v>171.13869331874474</v>
      </c>
      <c r="AG186" s="399">
        <v>3.5784632412011699</v>
      </c>
      <c r="AH186" s="399">
        <v>0</v>
      </c>
      <c r="AI186" s="399">
        <v>0</v>
      </c>
      <c r="AJ186" s="399">
        <v>0</v>
      </c>
      <c r="AK186" s="399">
        <v>0</v>
      </c>
      <c r="AL186" s="399">
        <v>7.6648304422009401</v>
      </c>
      <c r="AM186" s="399"/>
      <c r="AN186" s="399">
        <v>0.956046752818413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1.7473708490973359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/>
      <c r="BR186" s="399">
        <v>53.445840000000004</v>
      </c>
      <c r="BS186" s="399"/>
      <c r="BT186" s="399"/>
      <c r="BU186" s="399"/>
      <c r="BV186" s="399">
        <v>172.88606416784208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391.00319999999999</v>
      </c>
      <c r="CJ186" s="399">
        <v>-60.019720000000007</v>
      </c>
      <c r="CK186" s="399"/>
      <c r="CL186" s="399"/>
      <c r="CM186" s="399"/>
      <c r="CN186" s="399"/>
      <c r="CO186" s="399">
        <v>-89.149480000000025</v>
      </c>
      <c r="CP186" s="399">
        <v>22.070160000000008</v>
      </c>
      <c r="CQ186" s="399">
        <v>31</v>
      </c>
      <c r="CR186" s="399">
        <v>22.990881712890769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3.0186174843948237</v>
      </c>
      <c r="DA186" s="399">
        <v>0</v>
      </c>
      <c r="DB186" s="399">
        <v>0</v>
      </c>
      <c r="DC186" s="399">
        <v>22.069741884275487</v>
      </c>
      <c r="DD186" s="399">
        <v>0</v>
      </c>
      <c r="DE186" s="399">
        <v>0</v>
      </c>
      <c r="DF186" s="399">
        <v>0</v>
      </c>
      <c r="DG186" s="399">
        <v>0.22533784071765095</v>
      </c>
      <c r="DH186" s="399">
        <v>0</v>
      </c>
      <c r="DI186" s="399">
        <v>-2.0167805035541164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-0.24370741190036949</v>
      </c>
      <c r="DP186" s="399">
        <v>-6.2327581042773916E-2</v>
      </c>
      <c r="DQ186" s="399">
        <v>0</v>
      </c>
      <c r="DR186" s="399">
        <v>0</v>
      </c>
      <c r="DS186" s="399"/>
      <c r="DT186" s="399"/>
      <c r="DU186" s="399"/>
      <c r="DV186" s="399">
        <v>205.28211933898942</v>
      </c>
      <c r="DW186" s="399">
        <v>0</v>
      </c>
      <c r="DX186" s="399">
        <v>0</v>
      </c>
      <c r="DY186" s="399">
        <v>-89.14948000000004</v>
      </c>
      <c r="DZ186" s="399">
        <v>22.070160000000016</v>
      </c>
      <c r="EA186" s="399">
        <v>0</v>
      </c>
      <c r="EB186" s="399">
        <v>0</v>
      </c>
      <c r="EC186" s="399">
        <v>-90.072108964306537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216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954</v>
      </c>
      <c r="C187" s="399" t="s">
        <v>2352</v>
      </c>
      <c r="D187" s="399" t="s">
        <v>2363</v>
      </c>
      <c r="E187" s="399" t="s">
        <v>892</v>
      </c>
      <c r="F187" s="399" t="s">
        <v>2373</v>
      </c>
      <c r="G187" s="399" t="s">
        <v>2372</v>
      </c>
      <c r="H187" s="399" t="s">
        <v>1237</v>
      </c>
      <c r="I187" s="399" t="s">
        <v>1237</v>
      </c>
      <c r="J187" s="399" t="s">
        <v>2353</v>
      </c>
      <c r="K187" s="789">
        <v>44562</v>
      </c>
      <c r="L187" s="399">
        <v>0</v>
      </c>
      <c r="M187" s="399">
        <v>0</v>
      </c>
      <c r="N187" s="399">
        <v>3.42</v>
      </c>
      <c r="O187" s="399">
        <v>1.3680000000000001</v>
      </c>
      <c r="P187" s="399">
        <v>3.42</v>
      </c>
      <c r="Q187" s="399">
        <v>1.3680000000000001</v>
      </c>
      <c r="R187" s="399"/>
      <c r="S187" s="399">
        <v>415.98</v>
      </c>
      <c r="T187" s="399">
        <v>215.17</v>
      </c>
      <c r="U187" s="399"/>
      <c r="V187" s="399">
        <v>2158.5330000000004</v>
      </c>
      <c r="W187" s="399">
        <v>2158.5330000000004</v>
      </c>
      <c r="X187" s="399">
        <v>1876.0067999999999</v>
      </c>
      <c r="Y187" s="399">
        <v>0</v>
      </c>
      <c r="Z187" s="399">
        <v>208.91616548212022</v>
      </c>
      <c r="AA187" s="399">
        <v>0</v>
      </c>
      <c r="AB187" s="399">
        <v>0</v>
      </c>
      <c r="AC187" s="399">
        <v>0</v>
      </c>
      <c r="AD187" s="399">
        <v>305.45927472544167</v>
      </c>
      <c r="AE187" s="399">
        <v>864.6118819450046</v>
      </c>
      <c r="AF187" s="399">
        <v>720.8058265395407</v>
      </c>
      <c r="AG187" s="399">
        <v>15.07185256762069</v>
      </c>
      <c r="AH187" s="399">
        <v>0</v>
      </c>
      <c r="AI187" s="399">
        <v>0</v>
      </c>
      <c r="AJ187" s="399">
        <v>0</v>
      </c>
      <c r="AK187" s="399">
        <v>0</v>
      </c>
      <c r="AL187" s="399">
        <v>32.282906542274894</v>
      </c>
      <c r="AM187" s="399"/>
      <c r="AN187" s="399">
        <v>4.0266993776342019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7.3596161378237541</v>
      </c>
      <c r="BH187" s="399">
        <v>0</v>
      </c>
      <c r="BI187" s="399">
        <v>0</v>
      </c>
      <c r="BJ187" s="399">
        <v>0</v>
      </c>
      <c r="BK187" s="399">
        <v>0</v>
      </c>
      <c r="BL187" s="399">
        <v>0</v>
      </c>
      <c r="BM187" s="399"/>
      <c r="BN187" s="399"/>
      <c r="BO187" s="399"/>
      <c r="BP187" s="399"/>
      <c r="BQ187" s="399"/>
      <c r="BR187" s="399"/>
      <c r="BS187" s="399">
        <v>1215.6458399999997</v>
      </c>
      <c r="BT187" s="399"/>
      <c r="BU187" s="399"/>
      <c r="BV187" s="399">
        <v>728.16544267736447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661.32640000000004</v>
      </c>
      <c r="CJ187" s="399">
        <v>-98.504479999999944</v>
      </c>
      <c r="CK187" s="399"/>
      <c r="CL187" s="399"/>
      <c r="CM187" s="399"/>
      <c r="CN187" s="399"/>
      <c r="CO187" s="399">
        <v>-375.48180000000008</v>
      </c>
      <c r="CP187" s="399">
        <v>92.955600000000018</v>
      </c>
      <c r="CQ187" s="399">
        <v>31</v>
      </c>
      <c r="CR187" s="399">
        <v>96.833516573997713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12.713881522943723</v>
      </c>
      <c r="DA187" s="399">
        <v>0</v>
      </c>
      <c r="DB187" s="399">
        <v>0</v>
      </c>
      <c r="DC187" s="399">
        <v>92.953838970716902</v>
      </c>
      <c r="DD187" s="399">
        <v>0</v>
      </c>
      <c r="DE187" s="399">
        <v>0</v>
      </c>
      <c r="DF187" s="399">
        <v>0</v>
      </c>
      <c r="DG187" s="399">
        <v>0.94908302371227382</v>
      </c>
      <c r="DH187" s="399">
        <v>0</v>
      </c>
      <c r="DI187" s="399">
        <v>-8.494321825314131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-1.0264523998759394</v>
      </c>
      <c r="DP187" s="399">
        <v>-0.26251271818508171</v>
      </c>
      <c r="DQ187" s="399">
        <v>0</v>
      </c>
      <c r="DR187" s="399">
        <v>0</v>
      </c>
      <c r="DS187" s="399"/>
      <c r="DT187" s="399"/>
      <c r="DU187" s="399"/>
      <c r="DV187" s="399">
        <v>864.6118819450046</v>
      </c>
      <c r="DW187" s="399">
        <v>0</v>
      </c>
      <c r="DX187" s="399">
        <v>0</v>
      </c>
      <c r="DY187" s="399">
        <v>-375.48180000000025</v>
      </c>
      <c r="DZ187" s="399">
        <v>92.955600000000004</v>
      </c>
      <c r="EA187" s="399">
        <v>0</v>
      </c>
      <c r="EB187" s="399">
        <v>0</v>
      </c>
      <c r="EC187" s="399">
        <v>-379.3677495787295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216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954</v>
      </c>
      <c r="C188" s="399" t="s">
        <v>2352</v>
      </c>
      <c r="D188" s="399" t="s">
        <v>1821</v>
      </c>
      <c r="E188" s="399" t="s">
        <v>887</v>
      </c>
      <c r="F188" s="399" t="s">
        <v>887</v>
      </c>
      <c r="G188" s="399" t="s">
        <v>1237</v>
      </c>
      <c r="H188" s="399" t="s">
        <v>1237</v>
      </c>
      <c r="I188" s="399" t="s">
        <v>1237</v>
      </c>
      <c r="J188" s="399" t="s">
        <v>2353</v>
      </c>
      <c r="K188" s="789">
        <v>44593</v>
      </c>
      <c r="L188" s="399">
        <v>0</v>
      </c>
      <c r="M188" s="399">
        <v>0</v>
      </c>
      <c r="N188" s="399">
        <v>667.26</v>
      </c>
      <c r="O188" s="399">
        <v>667.26</v>
      </c>
      <c r="P188" s="399">
        <v>667.26</v>
      </c>
      <c r="Q188" s="399">
        <v>667.26</v>
      </c>
      <c r="R188" s="399"/>
      <c r="S188" s="399">
        <v>415.98</v>
      </c>
      <c r="T188" s="399">
        <v>215.17</v>
      </c>
      <c r="U188" s="399"/>
      <c r="V188" s="399">
        <v>421141.14899999998</v>
      </c>
      <c r="W188" s="399">
        <v>421141.14899999998</v>
      </c>
      <c r="X188" s="399">
        <v>366018.80039999995</v>
      </c>
      <c r="Y188" s="399">
        <v>0</v>
      </c>
      <c r="Z188" s="399">
        <v>40760.643444327354</v>
      </c>
      <c r="AA188" s="399">
        <v>0</v>
      </c>
      <c r="AB188" s="399">
        <v>0</v>
      </c>
      <c r="AC188" s="399">
        <v>0</v>
      </c>
      <c r="AD188" s="399">
        <v>59596.712179326962</v>
      </c>
      <c r="AE188" s="399">
        <v>168690.32875632273</v>
      </c>
      <c r="AF188" s="399">
        <v>140633.01047274092</v>
      </c>
      <c r="AG188" s="399">
        <v>2940.5977614826261</v>
      </c>
      <c r="AH188" s="399">
        <v>0</v>
      </c>
      <c r="AI188" s="399">
        <v>0</v>
      </c>
      <c r="AJ188" s="399">
        <v>0</v>
      </c>
      <c r="AK188" s="399">
        <v>0</v>
      </c>
      <c r="AL188" s="399">
        <v>6298.5649764322652</v>
      </c>
      <c r="AM188" s="399"/>
      <c r="AN188" s="399">
        <v>785.63024173105202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1435.8998433111924</v>
      </c>
      <c r="BH188" s="399">
        <v>0</v>
      </c>
      <c r="BI188" s="399">
        <v>0</v>
      </c>
      <c r="BJ188" s="399">
        <v>0</v>
      </c>
      <c r="BK188" s="399">
        <v>105035.1</v>
      </c>
      <c r="BL188" s="399">
        <v>2847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142068.91031605212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366018.80039999995</v>
      </c>
      <c r="CJ188" s="399">
        <v>-55122.378600000055</v>
      </c>
      <c r="CK188" s="399"/>
      <c r="CL188" s="399"/>
      <c r="CM188" s="399"/>
      <c r="CN188" s="399"/>
      <c r="CO188" s="399">
        <v>-73258.47540000001</v>
      </c>
      <c r="CP188" s="399">
        <v>18136.126800000005</v>
      </c>
      <c r="CQ188" s="399">
        <v>29</v>
      </c>
      <c r="CR188" s="399">
        <v>18892.728733674128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2480.5452002922248</v>
      </c>
      <c r="DA188" s="399">
        <v>0</v>
      </c>
      <c r="DB188" s="399">
        <v>0</v>
      </c>
      <c r="DC188" s="399">
        <v>18135.783213918272</v>
      </c>
      <c r="DD188" s="399">
        <v>0</v>
      </c>
      <c r="DE188" s="399">
        <v>0</v>
      </c>
      <c r="DF188" s="399">
        <v>0</v>
      </c>
      <c r="DG188" s="399">
        <v>185.17109310007345</v>
      </c>
      <c r="DH188" s="399">
        <v>0</v>
      </c>
      <c r="DI188" s="399">
        <v>-1657.2868950757693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-200.26626559684792</v>
      </c>
      <c r="DP188" s="399">
        <v>-51.21761296379475</v>
      </c>
      <c r="DQ188" s="399">
        <v>0</v>
      </c>
      <c r="DR188" s="399">
        <v>0</v>
      </c>
      <c r="DS188" s="399"/>
      <c r="DT188" s="399"/>
      <c r="DU188" s="399"/>
      <c r="DV188" s="399">
        <v>168690.32875632273</v>
      </c>
      <c r="DW188" s="399">
        <v>0</v>
      </c>
      <c r="DX188" s="399">
        <v>0</v>
      </c>
      <c r="DY188" s="399">
        <v>-73258.475399999996</v>
      </c>
      <c r="DZ188" s="399">
        <v>18136.126799999998</v>
      </c>
      <c r="EA188" s="399">
        <v>0</v>
      </c>
      <c r="EB188" s="399">
        <v>0</v>
      </c>
      <c r="EC188" s="399">
        <v>-74016.644615176323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216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2354</v>
      </c>
      <c r="C189" s="399" t="s">
        <v>2352</v>
      </c>
      <c r="D189" s="399" t="s">
        <v>1821</v>
      </c>
      <c r="E189" s="399" t="s">
        <v>887</v>
      </c>
      <c r="F189" s="399" t="s">
        <v>887</v>
      </c>
      <c r="G189" s="399" t="s">
        <v>1237</v>
      </c>
      <c r="H189" s="399" t="s">
        <v>1237</v>
      </c>
      <c r="I189" s="399" t="s">
        <v>1237</v>
      </c>
      <c r="J189" s="399" t="s">
        <v>2353</v>
      </c>
      <c r="K189" s="789">
        <v>44593</v>
      </c>
      <c r="L189" s="399">
        <v>0</v>
      </c>
      <c r="M189" s="399">
        <v>0</v>
      </c>
      <c r="N189" s="399">
        <v>-3.3889999999999998</v>
      </c>
      <c r="O189" s="399">
        <v>-3.3889999999999998</v>
      </c>
      <c r="P189" s="399">
        <v>-3.3889999999999998</v>
      </c>
      <c r="Q189" s="399">
        <v>-3.3889999999999998</v>
      </c>
      <c r="R189" s="399"/>
      <c r="S189" s="399">
        <v>415.98</v>
      </c>
      <c r="T189" s="399">
        <v>215.17</v>
      </c>
      <c r="U189" s="399"/>
      <c r="V189" s="399">
        <v>-2138.9673499999999</v>
      </c>
      <c r="W189" s="399">
        <v>-2138.9673499999999</v>
      </c>
      <c r="X189" s="399">
        <v>-1859.0020599999998</v>
      </c>
      <c r="Y189" s="399">
        <v>0</v>
      </c>
      <c r="Z189" s="399">
        <v>-207.02248094120043</v>
      </c>
      <c r="AA189" s="399">
        <v>0</v>
      </c>
      <c r="AB189" s="399">
        <v>0</v>
      </c>
      <c r="AC189" s="399">
        <v>0</v>
      </c>
      <c r="AD189" s="399">
        <v>-302.69049182588356</v>
      </c>
      <c r="AE189" s="399">
        <v>-856.77475669930425</v>
      </c>
      <c r="AF189" s="399">
        <v>-714.27220647441618</v>
      </c>
      <c r="AG189" s="399">
        <v>-14.935236360136408</v>
      </c>
      <c r="AH189" s="399">
        <v>0</v>
      </c>
      <c r="AI189" s="399">
        <v>0</v>
      </c>
      <c r="AJ189" s="399">
        <v>0</v>
      </c>
      <c r="AK189" s="399">
        <v>0</v>
      </c>
      <c r="AL189" s="399">
        <v>-31.990283705195793</v>
      </c>
      <c r="AM189" s="399"/>
      <c r="AN189" s="399">
        <v>-3.9902000557901491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-7.2929061669838307</v>
      </c>
      <c r="BH189" s="399">
        <v>0</v>
      </c>
      <c r="BI189" s="399">
        <v>0</v>
      </c>
      <c r="BJ189" s="399">
        <v>0</v>
      </c>
      <c r="BK189" s="399">
        <v>-652.46</v>
      </c>
      <c r="BL189" s="399">
        <v>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-721.56511264139999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-1859.5506</v>
      </c>
      <c r="CJ189" s="399">
        <v>279.38674999999967</v>
      </c>
      <c r="CK189" s="399"/>
      <c r="CL189" s="399"/>
      <c r="CM189" s="399"/>
      <c r="CN189" s="399"/>
      <c r="CO189" s="399">
        <v>372.07831000000004</v>
      </c>
      <c r="CP189" s="399">
        <v>-92.11302000000002</v>
      </c>
      <c r="CQ189" s="399">
        <v>29</v>
      </c>
      <c r="CR189" s="399">
        <v>-95.955785868209659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-12.598638737209399</v>
      </c>
      <c r="DA189" s="399">
        <v>0</v>
      </c>
      <c r="DB189" s="399">
        <v>0</v>
      </c>
      <c r="DC189" s="399">
        <v>-92.111274933262962</v>
      </c>
      <c r="DD189" s="399">
        <v>0</v>
      </c>
      <c r="DE189" s="399">
        <v>0</v>
      </c>
      <c r="DF189" s="399">
        <v>0</v>
      </c>
      <c r="DG189" s="399">
        <v>-0.94048022437452961</v>
      </c>
      <c r="DH189" s="399">
        <v>0</v>
      </c>
      <c r="DI189" s="399">
        <v>8.4173265105232815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1.0171482991753109</v>
      </c>
      <c r="DP189" s="399">
        <v>0.26013321693837499</v>
      </c>
      <c r="DQ189" s="399">
        <v>0</v>
      </c>
      <c r="DR189" s="399">
        <v>0</v>
      </c>
      <c r="DS189" s="399"/>
      <c r="DT189" s="399"/>
      <c r="DU189" s="399"/>
      <c r="DV189" s="399">
        <v>-856.77475669930425</v>
      </c>
      <c r="DW189" s="399">
        <v>0</v>
      </c>
      <c r="DX189" s="399">
        <v>0</v>
      </c>
      <c r="DY189" s="399">
        <v>372.0783100000001</v>
      </c>
      <c r="DZ189" s="399">
        <v>-92.113020000000006</v>
      </c>
      <c r="EA189" s="399">
        <v>0</v>
      </c>
      <c r="EB189" s="399">
        <v>0</v>
      </c>
      <c r="EC189" s="399">
        <v>375.9290360591562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216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2355</v>
      </c>
      <c r="C190" s="399" t="s">
        <v>2352</v>
      </c>
      <c r="D190" s="399" t="s">
        <v>1821</v>
      </c>
      <c r="E190" s="399" t="s">
        <v>887</v>
      </c>
      <c r="F190" s="399" t="s">
        <v>887</v>
      </c>
      <c r="G190" s="399" t="s">
        <v>1237</v>
      </c>
      <c r="H190" s="399" t="s">
        <v>1237</v>
      </c>
      <c r="I190" s="399" t="s">
        <v>1237</v>
      </c>
      <c r="J190" s="399" t="s">
        <v>2353</v>
      </c>
      <c r="K190" s="789">
        <v>44593</v>
      </c>
      <c r="L190" s="399">
        <v>0</v>
      </c>
      <c r="M190" s="399">
        <v>0</v>
      </c>
      <c r="N190" s="399">
        <v>3.0150000000000001</v>
      </c>
      <c r="O190" s="399">
        <v>3.0150000000000001</v>
      </c>
      <c r="P190" s="399">
        <v>3.0150000000000001</v>
      </c>
      <c r="Q190" s="399">
        <v>3.0150000000000001</v>
      </c>
      <c r="R190" s="399"/>
      <c r="S190" s="399">
        <v>415.98</v>
      </c>
      <c r="T190" s="399">
        <v>215.17</v>
      </c>
      <c r="U190" s="399"/>
      <c r="V190" s="399">
        <v>1902.91725</v>
      </c>
      <c r="W190" s="399">
        <v>1902.91725</v>
      </c>
      <c r="X190" s="399">
        <v>1653.8481000000002</v>
      </c>
      <c r="Y190" s="399">
        <v>0</v>
      </c>
      <c r="Z190" s="399">
        <v>184.17609325397441</v>
      </c>
      <c r="AA190" s="399">
        <v>0</v>
      </c>
      <c r="AB190" s="399">
        <v>0</v>
      </c>
      <c r="AC190" s="399">
        <v>0</v>
      </c>
      <c r="AD190" s="399">
        <v>269.28646587637621</v>
      </c>
      <c r="AE190" s="399">
        <v>762.22363276730675</v>
      </c>
      <c r="AF190" s="399">
        <v>635.44724181775302</v>
      </c>
      <c r="AG190" s="399">
        <v>13.287027921455083</v>
      </c>
      <c r="AH190" s="399">
        <v>0</v>
      </c>
      <c r="AI190" s="399">
        <v>0</v>
      </c>
      <c r="AJ190" s="399">
        <v>0</v>
      </c>
      <c r="AK190" s="399">
        <v>0</v>
      </c>
      <c r="AL190" s="399">
        <v>28.459930767531816</v>
      </c>
      <c r="AM190" s="399"/>
      <c r="AN190" s="399">
        <v>3.5498533987038363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6.4880826478183096</v>
      </c>
      <c r="BH190" s="399">
        <v>0</v>
      </c>
      <c r="BI190" s="399">
        <v>0</v>
      </c>
      <c r="BJ190" s="399">
        <v>0</v>
      </c>
      <c r="BK190" s="399">
        <v>1158.1300000000001</v>
      </c>
      <c r="BL190" s="399">
        <v>20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641.93532446557128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1656.5907999999999</v>
      </c>
      <c r="CJ190" s="399">
        <v>-246.35645</v>
      </c>
      <c r="CK190" s="399"/>
      <c r="CL190" s="399"/>
      <c r="CM190" s="399"/>
      <c r="CN190" s="399"/>
      <c r="CO190" s="399">
        <v>-331.01685000000009</v>
      </c>
      <c r="CP190" s="399">
        <v>81.947700000000026</v>
      </c>
      <c r="CQ190" s="399">
        <v>29</v>
      </c>
      <c r="CR190" s="399">
        <v>85.366389611287104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11.208290289963543</v>
      </c>
      <c r="DA190" s="399">
        <v>0</v>
      </c>
      <c r="DB190" s="399">
        <v>0</v>
      </c>
      <c r="DC190" s="399">
        <v>81.946147513658275</v>
      </c>
      <c r="DD190" s="399">
        <v>0</v>
      </c>
      <c r="DE190" s="399">
        <v>0</v>
      </c>
      <c r="DF190" s="399">
        <v>0</v>
      </c>
      <c r="DG190" s="399">
        <v>0.83669161300950456</v>
      </c>
      <c r="DH190" s="399">
        <v>0</v>
      </c>
      <c r="DI190" s="399">
        <v>-7.4884152933690302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-0.90489882620641993</v>
      </c>
      <c r="DP190" s="399">
        <v>-0.23142568576842759</v>
      </c>
      <c r="DQ190" s="399">
        <v>0</v>
      </c>
      <c r="DR190" s="399">
        <v>0</v>
      </c>
      <c r="DS190" s="399"/>
      <c r="DT190" s="399"/>
      <c r="DU190" s="399"/>
      <c r="DV190" s="399">
        <v>762.22363276730675</v>
      </c>
      <c r="DW190" s="399">
        <v>0</v>
      </c>
      <c r="DX190" s="399">
        <v>0</v>
      </c>
      <c r="DY190" s="399">
        <v>-331.01685000000009</v>
      </c>
      <c r="DZ190" s="399">
        <v>81.947700000000054</v>
      </c>
      <c r="EA190" s="399">
        <v>0</v>
      </c>
      <c r="EB190" s="399">
        <v>0</v>
      </c>
      <c r="EC190" s="399">
        <v>-334.44262133914316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216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954</v>
      </c>
      <c r="C191" s="399" t="s">
        <v>2352</v>
      </c>
      <c r="D191" s="399" t="s">
        <v>1821</v>
      </c>
      <c r="E191" s="399" t="s">
        <v>887</v>
      </c>
      <c r="F191" s="399" t="s">
        <v>2356</v>
      </c>
      <c r="G191" s="399" t="s">
        <v>1237</v>
      </c>
      <c r="H191" s="399" t="s">
        <v>1237</v>
      </c>
      <c r="I191" s="399" t="s">
        <v>1237</v>
      </c>
      <c r="J191" s="399" t="s">
        <v>2353</v>
      </c>
      <c r="K191" s="789">
        <v>44593</v>
      </c>
      <c r="L191" s="399">
        <v>0</v>
      </c>
      <c r="M191" s="399">
        <v>0</v>
      </c>
      <c r="N191" s="399">
        <v>5.76</v>
      </c>
      <c r="O191" s="399">
        <v>5.76</v>
      </c>
      <c r="P191" s="399">
        <v>5.76</v>
      </c>
      <c r="Q191" s="399">
        <v>5.76</v>
      </c>
      <c r="R191" s="399"/>
      <c r="S191" s="399">
        <v>345.46</v>
      </c>
      <c r="T191" s="399">
        <v>215.17</v>
      </c>
      <c r="U191" s="399"/>
      <c r="V191" s="399">
        <v>3229.2287999999999</v>
      </c>
      <c r="W191" s="399">
        <v>3229.2287999999999</v>
      </c>
      <c r="X191" s="399">
        <v>2769.4079999999999</v>
      </c>
      <c r="Y191" s="399">
        <v>0</v>
      </c>
      <c r="Z191" s="399">
        <v>0</v>
      </c>
      <c r="AA191" s="399">
        <v>0</v>
      </c>
      <c r="AB191" s="399">
        <v>0</v>
      </c>
      <c r="AC191" s="399">
        <v>0</v>
      </c>
      <c r="AD191" s="399">
        <v>514.45772585337545</v>
      </c>
      <c r="AE191" s="399">
        <v>1456.1884327494815</v>
      </c>
      <c r="AF191" s="399">
        <v>1213.9887604876474</v>
      </c>
      <c r="AG191" s="399">
        <v>25.384172745466426</v>
      </c>
      <c r="AH191" s="399">
        <v>0</v>
      </c>
      <c r="AI191" s="399">
        <v>0</v>
      </c>
      <c r="AJ191" s="399">
        <v>0</v>
      </c>
      <c r="AK191" s="399">
        <v>0</v>
      </c>
      <c r="AL191" s="399">
        <v>0</v>
      </c>
      <c r="AM191" s="399"/>
      <c r="AN191" s="399">
        <v>6.7818094781207616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12.395142968966322</v>
      </c>
      <c r="BH191" s="399">
        <v>0</v>
      </c>
      <c r="BI191" s="399">
        <v>0</v>
      </c>
      <c r="BJ191" s="399">
        <v>0</v>
      </c>
      <c r="BK191" s="399">
        <v>130.57</v>
      </c>
      <c r="BL191" s="399">
        <v>9</v>
      </c>
      <c r="BM191" s="399"/>
      <c r="BN191" s="399"/>
      <c r="BO191" s="399"/>
      <c r="BP191" s="399"/>
      <c r="BQ191" s="399"/>
      <c r="BR191" s="399"/>
      <c r="BS191" s="399"/>
      <c r="BT191" s="399">
        <v>1800.1152</v>
      </c>
      <c r="BU191" s="399"/>
      <c r="BV191" s="399">
        <v>1226.3839034566138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969.29279999999994</v>
      </c>
      <c r="CJ191" s="399">
        <v>-160.96440000000007</v>
      </c>
      <c r="CK191" s="399"/>
      <c r="CL191" s="399"/>
      <c r="CM191" s="399"/>
      <c r="CN191" s="399"/>
      <c r="CO191" s="399">
        <v>-616.37759999999992</v>
      </c>
      <c r="CP191" s="399">
        <v>156.55680000000004</v>
      </c>
      <c r="CQ191" s="399">
        <v>29</v>
      </c>
      <c r="CR191" s="399">
        <v>179.12301608284247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21.412853091273632</v>
      </c>
      <c r="DA191" s="399">
        <v>0</v>
      </c>
      <c r="DB191" s="399">
        <v>0</v>
      </c>
      <c r="DC191" s="399">
        <v>156.55383405594421</v>
      </c>
      <c r="DD191" s="399">
        <v>0</v>
      </c>
      <c r="DE191" s="399">
        <v>0</v>
      </c>
      <c r="DF191" s="399">
        <v>0</v>
      </c>
      <c r="DG191" s="399">
        <v>1.598455618883829</v>
      </c>
      <c r="DH191" s="399">
        <v>0</v>
      </c>
      <c r="DI191" s="399">
        <v>0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0</v>
      </c>
      <c r="DP191" s="399">
        <v>-0.44212668325908577</v>
      </c>
      <c r="DQ191" s="399">
        <v>0</v>
      </c>
      <c r="DR191" s="399">
        <v>0</v>
      </c>
      <c r="DS191" s="399"/>
      <c r="DT191" s="399"/>
      <c r="DU191" s="399"/>
      <c r="DV191" s="399">
        <v>1456.1884327494815</v>
      </c>
      <c r="DW191" s="399">
        <v>0</v>
      </c>
      <c r="DX191" s="399">
        <v>0</v>
      </c>
      <c r="DY191" s="399">
        <v>-616.3775999999998</v>
      </c>
      <c r="DZ191" s="399">
        <v>156.55680000000007</v>
      </c>
      <c r="EA191" s="399">
        <v>0</v>
      </c>
      <c r="EB191" s="399">
        <v>0</v>
      </c>
      <c r="EC191" s="399">
        <v>-638.93515718522872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216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954</v>
      </c>
      <c r="C192" s="399" t="s">
        <v>2352</v>
      </c>
      <c r="D192" s="399" t="s">
        <v>1821</v>
      </c>
      <c r="E192" s="399" t="s">
        <v>887</v>
      </c>
      <c r="F192" s="399" t="s">
        <v>2357</v>
      </c>
      <c r="G192" s="399" t="s">
        <v>1237</v>
      </c>
      <c r="H192" s="399" t="s">
        <v>1237</v>
      </c>
      <c r="I192" s="399" t="s">
        <v>1237</v>
      </c>
      <c r="J192" s="399" t="s">
        <v>2353</v>
      </c>
      <c r="K192" s="789">
        <v>44593</v>
      </c>
      <c r="L192" s="399">
        <v>0</v>
      </c>
      <c r="M192" s="399">
        <v>0</v>
      </c>
      <c r="N192" s="399">
        <v>12.263</v>
      </c>
      <c r="O192" s="399">
        <v>12.263</v>
      </c>
      <c r="P192" s="399">
        <v>12.263</v>
      </c>
      <c r="Q192" s="399">
        <v>12.263</v>
      </c>
      <c r="R192" s="399"/>
      <c r="S192" s="399">
        <v>345.46</v>
      </c>
      <c r="T192" s="399">
        <v>215.17</v>
      </c>
      <c r="U192" s="399"/>
      <c r="V192" s="399">
        <v>6875.00569</v>
      </c>
      <c r="W192" s="399">
        <v>6875.00569</v>
      </c>
      <c r="X192" s="399">
        <v>5896.0504000000001</v>
      </c>
      <c r="Y192" s="399">
        <v>0</v>
      </c>
      <c r="Z192" s="399">
        <v>0</v>
      </c>
      <c r="AA192" s="399">
        <v>0</v>
      </c>
      <c r="AB192" s="399">
        <v>0</v>
      </c>
      <c r="AC192" s="399">
        <v>0</v>
      </c>
      <c r="AD192" s="399">
        <v>1095.2769257187401</v>
      </c>
      <c r="AE192" s="399">
        <v>3100.2150609039741</v>
      </c>
      <c r="AF192" s="399">
        <v>2584.5736406006981</v>
      </c>
      <c r="AG192" s="399">
        <v>54.042727496120619</v>
      </c>
      <c r="AH192" s="399">
        <v>0</v>
      </c>
      <c r="AI192" s="399">
        <v>0</v>
      </c>
      <c r="AJ192" s="399">
        <v>0</v>
      </c>
      <c r="AK192" s="399">
        <v>0</v>
      </c>
      <c r="AL192" s="399">
        <v>0</v>
      </c>
      <c r="AM192" s="399"/>
      <c r="AN192" s="399">
        <v>14.438425283019948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26.389173303547572</v>
      </c>
      <c r="BH192" s="399">
        <v>0</v>
      </c>
      <c r="BI192" s="399">
        <v>0</v>
      </c>
      <c r="BJ192" s="399">
        <v>0</v>
      </c>
      <c r="BK192" s="399">
        <v>481.83</v>
      </c>
      <c r="BL192" s="399">
        <v>22</v>
      </c>
      <c r="BM192" s="399"/>
      <c r="BN192" s="399"/>
      <c r="BO192" s="399"/>
      <c r="BP192" s="399"/>
      <c r="BQ192" s="399"/>
      <c r="BR192" s="399"/>
      <c r="BS192" s="399"/>
      <c r="BT192" s="399">
        <v>2358.4201599999997</v>
      </c>
      <c r="BU192" s="399"/>
      <c r="BV192" s="399">
        <v>2610.9628139042456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3536.7647999999999</v>
      </c>
      <c r="CJ192" s="399">
        <v>-588.17051000000083</v>
      </c>
      <c r="CK192" s="399"/>
      <c r="CL192" s="399"/>
      <c r="CM192" s="399"/>
      <c r="CN192" s="399"/>
      <c r="CO192" s="399">
        <v>-1312.2636299999999</v>
      </c>
      <c r="CP192" s="399">
        <v>333.3083400000001</v>
      </c>
      <c r="CQ192" s="399">
        <v>29</v>
      </c>
      <c r="CR192" s="399">
        <v>381.35165733053736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45.587815530952867</v>
      </c>
      <c r="DA192" s="399">
        <v>0</v>
      </c>
      <c r="DB192" s="399">
        <v>0</v>
      </c>
      <c r="DC192" s="399">
        <v>333.30202552570199</v>
      </c>
      <c r="DD192" s="399">
        <v>0</v>
      </c>
      <c r="DE192" s="399">
        <v>0</v>
      </c>
      <c r="DF192" s="399">
        <v>0</v>
      </c>
      <c r="DG192" s="399">
        <v>3.4031009122174289</v>
      </c>
      <c r="DH192" s="399">
        <v>0</v>
      </c>
      <c r="DI192" s="399">
        <v>0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0</v>
      </c>
      <c r="DP192" s="399">
        <v>-0.94128463833440357</v>
      </c>
      <c r="DQ192" s="399">
        <v>0</v>
      </c>
      <c r="DR192" s="399">
        <v>0</v>
      </c>
      <c r="DS192" s="399"/>
      <c r="DT192" s="399"/>
      <c r="DU192" s="399"/>
      <c r="DV192" s="399">
        <v>3100.2150609039741</v>
      </c>
      <c r="DW192" s="399">
        <v>0</v>
      </c>
      <c r="DX192" s="399">
        <v>0</v>
      </c>
      <c r="DY192" s="399">
        <v>-1312.2636299999999</v>
      </c>
      <c r="DZ192" s="399">
        <v>333.30834000000004</v>
      </c>
      <c r="EA192" s="399">
        <v>0</v>
      </c>
      <c r="EB192" s="399">
        <v>0</v>
      </c>
      <c r="EC192" s="399">
        <v>-1360.2885125976491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216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954</v>
      </c>
      <c r="C193" s="399" t="s">
        <v>2352</v>
      </c>
      <c r="D193" s="399" t="s">
        <v>1821</v>
      </c>
      <c r="E193" s="399" t="s">
        <v>887</v>
      </c>
      <c r="F193" s="399" t="s">
        <v>2358</v>
      </c>
      <c r="G193" s="399" t="s">
        <v>1237</v>
      </c>
      <c r="H193" s="399" t="s">
        <v>1237</v>
      </c>
      <c r="I193" s="399" t="s">
        <v>1237</v>
      </c>
      <c r="J193" s="399" t="s">
        <v>2353</v>
      </c>
      <c r="K193" s="789">
        <v>44593</v>
      </c>
      <c r="L193" s="399">
        <v>0</v>
      </c>
      <c r="M193" s="399">
        <v>0</v>
      </c>
      <c r="N193" s="399">
        <v>14.289</v>
      </c>
      <c r="O193" s="399">
        <v>14.289</v>
      </c>
      <c r="P193" s="399">
        <v>14.289</v>
      </c>
      <c r="Q193" s="399">
        <v>14.289</v>
      </c>
      <c r="R193" s="399"/>
      <c r="S193" s="399">
        <v>345.46</v>
      </c>
      <c r="T193" s="399">
        <v>215.17</v>
      </c>
      <c r="U193" s="399"/>
      <c r="V193" s="399">
        <v>8010.8420699999997</v>
      </c>
      <c r="W193" s="399">
        <v>8010.8420699999997</v>
      </c>
      <c r="X193" s="399">
        <v>6870.1511999999993</v>
      </c>
      <c r="Y193" s="399">
        <v>0</v>
      </c>
      <c r="Z193" s="399">
        <v>0</v>
      </c>
      <c r="AA193" s="399">
        <v>0</v>
      </c>
      <c r="AB193" s="399">
        <v>0</v>
      </c>
      <c r="AC193" s="399">
        <v>0</v>
      </c>
      <c r="AD193" s="399">
        <v>1276.2302855414725</v>
      </c>
      <c r="AE193" s="399">
        <v>3612.4091172842604</v>
      </c>
      <c r="AF193" s="399">
        <v>3011.5773261472214</v>
      </c>
      <c r="AG193" s="399">
        <v>62.971257701383635</v>
      </c>
      <c r="AH193" s="399">
        <v>0</v>
      </c>
      <c r="AI193" s="399">
        <v>0</v>
      </c>
      <c r="AJ193" s="399">
        <v>0</v>
      </c>
      <c r="AK193" s="399">
        <v>0</v>
      </c>
      <c r="AL193" s="399">
        <v>0</v>
      </c>
      <c r="AM193" s="399"/>
      <c r="AN193" s="399">
        <v>16.823832575150618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30.748992688118019</v>
      </c>
      <c r="BH193" s="399">
        <v>0</v>
      </c>
      <c r="BI193" s="399">
        <v>0</v>
      </c>
      <c r="BJ193" s="399">
        <v>0</v>
      </c>
      <c r="BK193" s="399">
        <v>1439.74</v>
      </c>
      <c r="BL193" s="399">
        <v>85</v>
      </c>
      <c r="BM193" s="399"/>
      <c r="BN193" s="399"/>
      <c r="BO193" s="399"/>
      <c r="BP193" s="399"/>
      <c r="BQ193" s="399"/>
      <c r="BR193" s="399"/>
      <c r="BS193" s="399"/>
      <c r="BT193" s="399">
        <v>687.15800999999965</v>
      </c>
      <c r="BU193" s="399"/>
      <c r="BV193" s="399">
        <v>3042.3263188353394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6183.4259000000002</v>
      </c>
      <c r="CJ193" s="399">
        <v>-1026.2619400000003</v>
      </c>
      <c r="CK193" s="399"/>
      <c r="CL193" s="399"/>
      <c r="CM193" s="399"/>
      <c r="CN193" s="399"/>
      <c r="CO193" s="399">
        <v>-1529.0658899999999</v>
      </c>
      <c r="CP193" s="399">
        <v>388.37502000000006</v>
      </c>
      <c r="CQ193" s="399">
        <v>29</v>
      </c>
      <c r="CR193" s="399">
        <v>444.35569041800954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53.119489205070977</v>
      </c>
      <c r="DA193" s="399">
        <v>0</v>
      </c>
      <c r="DB193" s="399">
        <v>0</v>
      </c>
      <c r="DC193" s="399">
        <v>388.36766229607383</v>
      </c>
      <c r="DD193" s="399">
        <v>0</v>
      </c>
      <c r="DE193" s="399">
        <v>0</v>
      </c>
      <c r="DF193" s="399">
        <v>0</v>
      </c>
      <c r="DG193" s="399">
        <v>3.9653354753873309</v>
      </c>
      <c r="DH193" s="399">
        <v>0</v>
      </c>
      <c r="DI193" s="399">
        <v>0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0</v>
      </c>
      <c r="DP193" s="399">
        <v>-1.0967965585224082</v>
      </c>
      <c r="DQ193" s="399">
        <v>0</v>
      </c>
      <c r="DR193" s="399">
        <v>0</v>
      </c>
      <c r="DS193" s="399"/>
      <c r="DT193" s="399"/>
      <c r="DU193" s="399"/>
      <c r="DV193" s="399">
        <v>3612.4091172842604</v>
      </c>
      <c r="DW193" s="399">
        <v>0</v>
      </c>
      <c r="DX193" s="399">
        <v>0</v>
      </c>
      <c r="DY193" s="399">
        <v>-1529.0658900000003</v>
      </c>
      <c r="DZ193" s="399">
        <v>388.37501999999995</v>
      </c>
      <c r="EA193" s="399">
        <v>0</v>
      </c>
      <c r="EB193" s="399">
        <v>0</v>
      </c>
      <c r="EC193" s="399">
        <v>-1585.0250800381477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216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954</v>
      </c>
      <c r="C194" s="399" t="s">
        <v>2352</v>
      </c>
      <c r="D194" s="399" t="s">
        <v>1821</v>
      </c>
      <c r="E194" s="399" t="s">
        <v>887</v>
      </c>
      <c r="F194" s="399" t="s">
        <v>2359</v>
      </c>
      <c r="G194" s="399" t="s">
        <v>1237</v>
      </c>
      <c r="H194" s="399" t="s">
        <v>1237</v>
      </c>
      <c r="I194" s="399" t="s">
        <v>1237</v>
      </c>
      <c r="J194" s="399" t="s">
        <v>2353</v>
      </c>
      <c r="K194" s="789">
        <v>44593</v>
      </c>
      <c r="L194" s="399">
        <v>0</v>
      </c>
      <c r="M194" s="399">
        <v>0</v>
      </c>
      <c r="N194" s="399">
        <v>9.2530000000000001</v>
      </c>
      <c r="O194" s="399">
        <v>9.2530000000000001</v>
      </c>
      <c r="P194" s="399">
        <v>9.2530000000000001</v>
      </c>
      <c r="Q194" s="399">
        <v>9.2530000000000001</v>
      </c>
      <c r="R194" s="399"/>
      <c r="S194" s="399">
        <v>345.46</v>
      </c>
      <c r="T194" s="399">
        <v>215.17</v>
      </c>
      <c r="U194" s="399"/>
      <c r="V194" s="399">
        <v>5187.5093899999993</v>
      </c>
      <c r="W194" s="399">
        <v>5187.5093899999993</v>
      </c>
      <c r="X194" s="399">
        <v>4448.8423999999995</v>
      </c>
      <c r="Y194" s="399">
        <v>0</v>
      </c>
      <c r="Z194" s="399">
        <v>0</v>
      </c>
      <c r="AA194" s="399">
        <v>0</v>
      </c>
      <c r="AB194" s="399">
        <v>0</v>
      </c>
      <c r="AC194" s="399">
        <v>0</v>
      </c>
      <c r="AD194" s="399">
        <v>826.43703772938943</v>
      </c>
      <c r="AE194" s="399">
        <v>2339.2554805956515</v>
      </c>
      <c r="AF194" s="399">
        <v>1950.1802084708684</v>
      </c>
      <c r="AG194" s="399">
        <v>40.777734446840427</v>
      </c>
      <c r="AH194" s="399">
        <v>0</v>
      </c>
      <c r="AI194" s="399">
        <v>0</v>
      </c>
      <c r="AJ194" s="399">
        <v>0</v>
      </c>
      <c r="AK194" s="399">
        <v>0</v>
      </c>
      <c r="AL194" s="399">
        <v>0</v>
      </c>
      <c r="AM194" s="399"/>
      <c r="AN194" s="399">
        <v>10.894458871710315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19.911850328445379</v>
      </c>
      <c r="BH194" s="399">
        <v>0</v>
      </c>
      <c r="BI194" s="399">
        <v>0</v>
      </c>
      <c r="BJ194" s="399">
        <v>0</v>
      </c>
      <c r="BK194" s="399">
        <v>1482.76</v>
      </c>
      <c r="BL194" s="399">
        <v>76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1970.0920587993137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4447.3999999999996</v>
      </c>
      <c r="CJ194" s="399">
        <v>-740.13939000000028</v>
      </c>
      <c r="CK194" s="399"/>
      <c r="CL194" s="399"/>
      <c r="CM194" s="399"/>
      <c r="CN194" s="399"/>
      <c r="CO194" s="399">
        <v>-990.16352999999992</v>
      </c>
      <c r="CP194" s="399">
        <v>251.49654000000007</v>
      </c>
      <c r="CQ194" s="399">
        <v>29</v>
      </c>
      <c r="CR194" s="399">
        <v>287.74744232891362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34.398112787075434</v>
      </c>
      <c r="DA194" s="399">
        <v>0</v>
      </c>
      <c r="DB194" s="399">
        <v>0</v>
      </c>
      <c r="DC194" s="399">
        <v>251.49177543743963</v>
      </c>
      <c r="DD194" s="399">
        <v>0</v>
      </c>
      <c r="DE194" s="399">
        <v>0</v>
      </c>
      <c r="DF194" s="399">
        <v>0</v>
      </c>
      <c r="DG194" s="399">
        <v>2.5677968474882071</v>
      </c>
      <c r="DH194" s="399">
        <v>0</v>
      </c>
      <c r="DI194" s="399">
        <v>0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0</v>
      </c>
      <c r="DP194" s="399">
        <v>-0.71024274308963875</v>
      </c>
      <c r="DQ194" s="399">
        <v>0</v>
      </c>
      <c r="DR194" s="399">
        <v>0</v>
      </c>
      <c r="DS194" s="399"/>
      <c r="DT194" s="399"/>
      <c r="DU194" s="399"/>
      <c r="DV194" s="399">
        <v>2339.2554805956515</v>
      </c>
      <c r="DW194" s="399">
        <v>0</v>
      </c>
      <c r="DX194" s="399">
        <v>0</v>
      </c>
      <c r="DY194" s="399">
        <v>-990.16352999999981</v>
      </c>
      <c r="DZ194" s="399">
        <v>251.49654000000032</v>
      </c>
      <c r="EA194" s="399">
        <v>0</v>
      </c>
      <c r="EB194" s="399">
        <v>0</v>
      </c>
      <c r="EC194" s="399">
        <v>-1026.4005224713405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216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954</v>
      </c>
      <c r="C195" s="399" t="s">
        <v>2352</v>
      </c>
      <c r="D195" s="399" t="s">
        <v>1824</v>
      </c>
      <c r="E195" s="399" t="s">
        <v>888</v>
      </c>
      <c r="F195" s="399" t="s">
        <v>1237</v>
      </c>
      <c r="G195" s="399" t="s">
        <v>1237</v>
      </c>
      <c r="H195" s="399" t="s">
        <v>1237</v>
      </c>
      <c r="I195" s="399" t="s">
        <v>1237</v>
      </c>
      <c r="J195" s="399" t="s">
        <v>2353</v>
      </c>
      <c r="K195" s="789">
        <v>44593</v>
      </c>
      <c r="L195" s="399">
        <v>0</v>
      </c>
      <c r="M195" s="399">
        <v>0</v>
      </c>
      <c r="N195" s="399">
        <v>49.401000000000003</v>
      </c>
      <c r="O195" s="399">
        <v>49.401000000000003</v>
      </c>
      <c r="P195" s="399">
        <v>49.401000000000003</v>
      </c>
      <c r="Q195" s="399">
        <v>49.401000000000003</v>
      </c>
      <c r="R195" s="399"/>
      <c r="S195" s="399">
        <v>415.98</v>
      </c>
      <c r="T195" s="399">
        <v>215.17</v>
      </c>
      <c r="U195" s="399"/>
      <c r="V195" s="399">
        <v>31179.441150000002</v>
      </c>
      <c r="W195" s="399">
        <v>31179.441150000002</v>
      </c>
      <c r="X195" s="399">
        <v>27098.42454</v>
      </c>
      <c r="Y195" s="399">
        <v>0</v>
      </c>
      <c r="Z195" s="399">
        <v>3017.739032450942</v>
      </c>
      <c r="AA195" s="399">
        <v>0</v>
      </c>
      <c r="AB195" s="399">
        <v>0</v>
      </c>
      <c r="AC195" s="399">
        <v>0</v>
      </c>
      <c r="AD195" s="399">
        <v>4412.2788393893406</v>
      </c>
      <c r="AE195" s="399">
        <v>12489.091105252975</v>
      </c>
      <c r="AF195" s="399">
        <v>10411.850478619839</v>
      </c>
      <c r="AG195" s="399">
        <v>217.70894406228942</v>
      </c>
      <c r="AH195" s="399">
        <v>0</v>
      </c>
      <c r="AI195" s="399">
        <v>0</v>
      </c>
      <c r="AJ195" s="399">
        <v>0</v>
      </c>
      <c r="AK195" s="399">
        <v>0</v>
      </c>
      <c r="AL195" s="399">
        <v>466.31808950143926</v>
      </c>
      <c r="AM195" s="399"/>
      <c r="AN195" s="399">
        <v>58.164612852195098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106.30771836977523</v>
      </c>
      <c r="BH195" s="399">
        <v>0</v>
      </c>
      <c r="BI195" s="399">
        <v>0</v>
      </c>
      <c r="BJ195" s="399">
        <v>0</v>
      </c>
      <c r="BK195" s="399">
        <v>11370.82</v>
      </c>
      <c r="BL195" s="399">
        <v>38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10518.158196989614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27097.876</v>
      </c>
      <c r="CJ195" s="399">
        <v>-4081.5951499999974</v>
      </c>
      <c r="CK195" s="399"/>
      <c r="CL195" s="399"/>
      <c r="CM195" s="399"/>
      <c r="CN195" s="399"/>
      <c r="CO195" s="399">
        <v>-5423.7357900000015</v>
      </c>
      <c r="CP195" s="399">
        <v>1342.7191800000005</v>
      </c>
      <c r="CQ195" s="399">
        <v>29</v>
      </c>
      <c r="CR195" s="399">
        <v>1398.7346644070421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183.6486728406262</v>
      </c>
      <c r="DA195" s="399">
        <v>0</v>
      </c>
      <c r="DB195" s="399">
        <v>0</v>
      </c>
      <c r="DC195" s="399">
        <v>1342.693742395435</v>
      </c>
      <c r="DD195" s="399">
        <v>0</v>
      </c>
      <c r="DE195" s="399">
        <v>0</v>
      </c>
      <c r="DF195" s="399">
        <v>0</v>
      </c>
      <c r="DG195" s="399">
        <v>13.709254518833333</v>
      </c>
      <c r="DH195" s="399">
        <v>0</v>
      </c>
      <c r="DI195" s="399">
        <v>-122.69824341881395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-14.826834797155414</v>
      </c>
      <c r="DP195" s="399">
        <v>-3.7919271318892527</v>
      </c>
      <c r="DQ195" s="399">
        <v>0</v>
      </c>
      <c r="DR195" s="399">
        <v>0</v>
      </c>
      <c r="DS195" s="399"/>
      <c r="DT195" s="399"/>
      <c r="DU195" s="399"/>
      <c r="DV195" s="399">
        <v>12489.091105252975</v>
      </c>
      <c r="DW195" s="399">
        <v>0</v>
      </c>
      <c r="DX195" s="399">
        <v>0</v>
      </c>
      <c r="DY195" s="399">
        <v>-5423.7357900000006</v>
      </c>
      <c r="DZ195" s="399">
        <v>1342.7191800000001</v>
      </c>
      <c r="EA195" s="399">
        <v>0</v>
      </c>
      <c r="EB195" s="399">
        <v>0</v>
      </c>
      <c r="EC195" s="399">
        <v>-5479.8673090464372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216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2355</v>
      </c>
      <c r="C196" s="399" t="s">
        <v>2352</v>
      </c>
      <c r="D196" s="399" t="s">
        <v>1824</v>
      </c>
      <c r="E196" s="399" t="s">
        <v>888</v>
      </c>
      <c r="F196" s="399" t="s">
        <v>1237</v>
      </c>
      <c r="G196" s="399" t="s">
        <v>1237</v>
      </c>
      <c r="H196" s="399" t="s">
        <v>1237</v>
      </c>
      <c r="I196" s="399" t="s">
        <v>1237</v>
      </c>
      <c r="J196" s="399" t="s">
        <v>2353</v>
      </c>
      <c r="K196" s="789">
        <v>44593</v>
      </c>
      <c r="L196" s="399">
        <v>0</v>
      </c>
      <c r="M196" s="399">
        <v>0</v>
      </c>
      <c r="N196" s="399">
        <v>0.82499999999999996</v>
      </c>
      <c r="O196" s="399">
        <v>0.82499999999999996</v>
      </c>
      <c r="P196" s="399">
        <v>0.82499999999999996</v>
      </c>
      <c r="Q196" s="399">
        <v>0.82499999999999996</v>
      </c>
      <c r="R196" s="399"/>
      <c r="S196" s="399">
        <v>415.98</v>
      </c>
      <c r="T196" s="399">
        <v>215.17</v>
      </c>
      <c r="U196" s="399"/>
      <c r="V196" s="399">
        <v>520.69875000000002</v>
      </c>
      <c r="W196" s="399">
        <v>520.69875000000002</v>
      </c>
      <c r="X196" s="399">
        <v>452.54549999999995</v>
      </c>
      <c r="Y196" s="399">
        <v>0</v>
      </c>
      <c r="Z196" s="399">
        <v>50.39644342770444</v>
      </c>
      <c r="AA196" s="399">
        <v>0</v>
      </c>
      <c r="AB196" s="399">
        <v>0</v>
      </c>
      <c r="AC196" s="399">
        <v>0</v>
      </c>
      <c r="AD196" s="399">
        <v>73.685351359207417</v>
      </c>
      <c r="AE196" s="399">
        <v>208.56865573234759</v>
      </c>
      <c r="AF196" s="399">
        <v>173.87859850734532</v>
      </c>
      <c r="AG196" s="399">
        <v>3.6357539088558681</v>
      </c>
      <c r="AH196" s="399">
        <v>0</v>
      </c>
      <c r="AI196" s="399">
        <v>0</v>
      </c>
      <c r="AJ196" s="399">
        <v>0</v>
      </c>
      <c r="AK196" s="399">
        <v>0</v>
      </c>
      <c r="AL196" s="399">
        <v>7.7875432448470141</v>
      </c>
      <c r="AM196" s="399"/>
      <c r="AN196" s="399">
        <v>0.97135292004333817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1.7753459981592388</v>
      </c>
      <c r="BH196" s="399">
        <v>0</v>
      </c>
      <c r="BI196" s="399">
        <v>0</v>
      </c>
      <c r="BJ196" s="399">
        <v>0</v>
      </c>
      <c r="BK196" s="399">
        <v>1118.75</v>
      </c>
      <c r="BL196" s="399">
        <v>3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175.65394450550457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455.28819999999996</v>
      </c>
      <c r="CJ196" s="399">
        <v>-65.44055000000003</v>
      </c>
      <c r="CK196" s="399"/>
      <c r="CL196" s="399"/>
      <c r="CM196" s="399"/>
      <c r="CN196" s="399"/>
      <c r="CO196" s="399">
        <v>-90.576750000000018</v>
      </c>
      <c r="CP196" s="399">
        <v>22.423500000000004</v>
      </c>
      <c r="CQ196" s="399">
        <v>29</v>
      </c>
      <c r="CR196" s="399">
        <v>23.358962331446776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3.066945104218874</v>
      </c>
      <c r="DA196" s="399">
        <v>0</v>
      </c>
      <c r="DB196" s="399">
        <v>0</v>
      </c>
      <c r="DC196" s="399">
        <v>22.42307519030453</v>
      </c>
      <c r="DD196" s="399">
        <v>0</v>
      </c>
      <c r="DE196" s="399">
        <v>0</v>
      </c>
      <c r="DF196" s="399">
        <v>0</v>
      </c>
      <c r="DG196" s="399">
        <v>0.22894546624638168</v>
      </c>
      <c r="DH196" s="399">
        <v>0</v>
      </c>
      <c r="DI196" s="399">
        <v>-2.0490688613696406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-0.2476091315490212</v>
      </c>
      <c r="DP196" s="399">
        <v>-6.3325436404296109E-2</v>
      </c>
      <c r="DQ196" s="399">
        <v>0</v>
      </c>
      <c r="DR196" s="399">
        <v>0</v>
      </c>
      <c r="DS196" s="399"/>
      <c r="DT196" s="399"/>
      <c r="DU196" s="399"/>
      <c r="DV196" s="399">
        <v>208.56865573234759</v>
      </c>
      <c r="DW196" s="399">
        <v>0</v>
      </c>
      <c r="DX196" s="399">
        <v>0</v>
      </c>
      <c r="DY196" s="399">
        <v>-90.576750000000004</v>
      </c>
      <c r="DZ196" s="399">
        <v>22.42349999999999</v>
      </c>
      <c r="EA196" s="399">
        <v>0</v>
      </c>
      <c r="EB196" s="399">
        <v>0</v>
      </c>
      <c r="EC196" s="399">
        <v>-91.514150117675968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216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954</v>
      </c>
      <c r="C197" s="399" t="s">
        <v>2360</v>
      </c>
      <c r="D197" s="399" t="s">
        <v>533</v>
      </c>
      <c r="E197" s="399" t="s">
        <v>888</v>
      </c>
      <c r="F197" s="399" t="s">
        <v>1237</v>
      </c>
      <c r="G197" s="399" t="s">
        <v>1237</v>
      </c>
      <c r="H197" s="399" t="s">
        <v>1237</v>
      </c>
      <c r="I197" s="399" t="s">
        <v>891</v>
      </c>
      <c r="J197" s="399" t="s">
        <v>2353</v>
      </c>
      <c r="K197" s="789">
        <v>44593</v>
      </c>
      <c r="L197" s="399">
        <v>0</v>
      </c>
      <c r="M197" s="399">
        <v>0</v>
      </c>
      <c r="N197" s="399">
        <v>148.72</v>
      </c>
      <c r="O197" s="399">
        <v>148.72</v>
      </c>
      <c r="P197" s="399">
        <v>148.72</v>
      </c>
      <c r="Q197" s="399">
        <v>148.72</v>
      </c>
      <c r="R197" s="399"/>
      <c r="S197" s="399">
        <v>2184.0300000000002</v>
      </c>
      <c r="T197" s="399">
        <v>215.17</v>
      </c>
      <c r="U197" s="399"/>
      <c r="V197" s="399">
        <v>356809.02400000003</v>
      </c>
      <c r="W197" s="399">
        <v>356809.02400000003</v>
      </c>
      <c r="X197" s="399">
        <v>269241.20079999999</v>
      </c>
      <c r="Y197" s="399">
        <v>0</v>
      </c>
      <c r="Z197" s="399">
        <v>7903.7750156537331</v>
      </c>
      <c r="AA197" s="399">
        <v>0</v>
      </c>
      <c r="AB197" s="399">
        <v>0</v>
      </c>
      <c r="AC197" s="399">
        <v>0</v>
      </c>
      <c r="AD197" s="399">
        <v>98005.627262295282</v>
      </c>
      <c r="AE197" s="399">
        <v>217269.22347468155</v>
      </c>
      <c r="AF197" s="399">
        <v>31344.515357590786</v>
      </c>
      <c r="AG197" s="399">
        <v>655.40523796975117</v>
      </c>
      <c r="AH197" s="399">
        <v>0</v>
      </c>
      <c r="AI197" s="399">
        <v>0</v>
      </c>
      <c r="AJ197" s="399">
        <v>0</v>
      </c>
      <c r="AK197" s="399">
        <v>0</v>
      </c>
      <c r="AL197" s="399">
        <v>1403.8344622710883</v>
      </c>
      <c r="AM197" s="399"/>
      <c r="AN197" s="399">
        <v>102.59785993097488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123.56417251109893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31468.079530101884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269241.20079999999</v>
      </c>
      <c r="CJ197" s="399">
        <v>-87567.853200000071</v>
      </c>
      <c r="CK197" s="399"/>
      <c r="CL197" s="399"/>
      <c r="CM197" s="399"/>
      <c r="CN197" s="399"/>
      <c r="CO197" s="399">
        <v>-91610.03280000003</v>
      </c>
      <c r="CP197" s="399">
        <v>4042.209600000001</v>
      </c>
      <c r="CQ197" s="399">
        <v>29</v>
      </c>
      <c r="CR197" s="399">
        <v>7764.5917856290762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4079.2080538873124</v>
      </c>
      <c r="DA197" s="399">
        <v>0</v>
      </c>
      <c r="DB197" s="399">
        <v>0</v>
      </c>
      <c r="DC197" s="399">
        <v>4042.1330209722255</v>
      </c>
      <c r="DD197" s="399">
        <v>0</v>
      </c>
      <c r="DE197" s="399">
        <v>0</v>
      </c>
      <c r="DF197" s="399">
        <v>0</v>
      </c>
      <c r="DG197" s="399">
        <v>15.934616191003911</v>
      </c>
      <c r="DH197" s="399">
        <v>0</v>
      </c>
      <c r="DI197" s="399">
        <v>-321.3595676663108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-44.635672780570076</v>
      </c>
      <c r="DP197" s="399">
        <v>-6.6886649746071214</v>
      </c>
      <c r="DQ197" s="399">
        <v>0</v>
      </c>
      <c r="DR197" s="399">
        <v>0</v>
      </c>
      <c r="DS197" s="399"/>
      <c r="DT197" s="399"/>
      <c r="DU197" s="399"/>
      <c r="DV197" s="399">
        <v>217269.22347468155</v>
      </c>
      <c r="DW197" s="399">
        <v>0</v>
      </c>
      <c r="DX197" s="399">
        <v>0</v>
      </c>
      <c r="DY197" s="399">
        <v>-91610.032800000015</v>
      </c>
      <c r="DZ197" s="399">
        <v>4042.209600000002</v>
      </c>
      <c r="EA197" s="399">
        <v>0</v>
      </c>
      <c r="EB197" s="399">
        <v>0</v>
      </c>
      <c r="EC197" s="399">
        <v>-95331.718292937818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216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954</v>
      </c>
      <c r="C198" s="399" t="s">
        <v>2360</v>
      </c>
      <c r="D198" s="399" t="s">
        <v>533</v>
      </c>
      <c r="E198" s="399" t="s">
        <v>888</v>
      </c>
      <c r="F198" s="399" t="s">
        <v>1237</v>
      </c>
      <c r="G198" s="399" t="s">
        <v>1237</v>
      </c>
      <c r="H198" s="399" t="s">
        <v>1237</v>
      </c>
      <c r="I198" s="399" t="s">
        <v>2327</v>
      </c>
      <c r="J198" s="399" t="s">
        <v>2353</v>
      </c>
      <c r="K198" s="789">
        <v>44593</v>
      </c>
      <c r="L198" s="399">
        <v>0</v>
      </c>
      <c r="M198" s="399">
        <v>0</v>
      </c>
      <c r="N198" s="399">
        <v>1972.8689999999999</v>
      </c>
      <c r="O198" s="399">
        <v>1972.8689999999999</v>
      </c>
      <c r="P198" s="399">
        <v>1972.8689999999999</v>
      </c>
      <c r="Q198" s="399">
        <v>1972.8689999999999</v>
      </c>
      <c r="R198" s="399"/>
      <c r="S198" s="399">
        <v>64.11</v>
      </c>
      <c r="T198" s="399">
        <v>215.17</v>
      </c>
      <c r="U198" s="399"/>
      <c r="V198" s="399">
        <v>550982.85431999993</v>
      </c>
      <c r="W198" s="399">
        <v>550982.85431999993</v>
      </c>
      <c r="X198" s="399">
        <v>599870.54813999997</v>
      </c>
      <c r="Y198" s="399">
        <v>0</v>
      </c>
      <c r="Z198" s="399">
        <v>104848.79445506835</v>
      </c>
      <c r="AA198" s="399">
        <v>0</v>
      </c>
      <c r="AB198" s="399">
        <v>0</v>
      </c>
      <c r="AC198" s="399">
        <v>0</v>
      </c>
      <c r="AD198" s="399">
        <v>0</v>
      </c>
      <c r="AE198" s="399">
        <v>0</v>
      </c>
      <c r="AF198" s="399">
        <v>415805.69304071256</v>
      </c>
      <c r="AG198" s="399">
        <v>8694.3832465582636</v>
      </c>
      <c r="AH198" s="399">
        <v>0</v>
      </c>
      <c r="AI198" s="399">
        <v>0</v>
      </c>
      <c r="AJ198" s="399">
        <v>0</v>
      </c>
      <c r="AK198" s="399">
        <v>0</v>
      </c>
      <c r="AL198" s="399">
        <v>18622.791095658282</v>
      </c>
      <c r="AM198" s="399"/>
      <c r="AN198" s="399">
        <v>1361.0283574782309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1639.160337935713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417444.85337864829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599870.85219999996</v>
      </c>
      <c r="CJ198" s="399">
        <v>48887.967880000011</v>
      </c>
      <c r="CK198" s="399"/>
      <c r="CL198" s="399"/>
      <c r="CM198" s="399"/>
      <c r="CN198" s="399"/>
      <c r="CO198" s="399">
        <v>-4734.8855999999969</v>
      </c>
      <c r="CP198" s="399">
        <v>53622.579420000009</v>
      </c>
      <c r="CQ198" s="399">
        <v>29</v>
      </c>
      <c r="CR198" s="399">
        <v>48889.04866499186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0</v>
      </c>
      <c r="DA198" s="399">
        <v>0</v>
      </c>
      <c r="DB198" s="399">
        <v>0</v>
      </c>
      <c r="DC198" s="399">
        <v>53621.563548631384</v>
      </c>
      <c r="DD198" s="399">
        <v>0</v>
      </c>
      <c r="DE198" s="399">
        <v>0</v>
      </c>
      <c r="DF198" s="399">
        <v>0</v>
      </c>
      <c r="DG198" s="399">
        <v>211.38320542045244</v>
      </c>
      <c r="DH198" s="399">
        <v>0</v>
      </c>
      <c r="DI198" s="399">
        <v>-4263.0468592137477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-592.1216724242222</v>
      </c>
      <c r="DP198" s="399">
        <v>-88.729557421921754</v>
      </c>
      <c r="DQ198" s="399">
        <v>0</v>
      </c>
      <c r="DR198" s="399">
        <v>0</v>
      </c>
      <c r="DS198" s="399"/>
      <c r="DT198" s="399"/>
      <c r="DU198" s="399"/>
      <c r="DV198" s="399">
        <v>0</v>
      </c>
      <c r="DW198" s="399">
        <v>0</v>
      </c>
      <c r="DX198" s="399">
        <v>0</v>
      </c>
      <c r="DY198" s="399">
        <v>-4734.8855999999942</v>
      </c>
      <c r="DZ198" s="399">
        <v>53622.579419999965</v>
      </c>
      <c r="EA198" s="399">
        <v>0</v>
      </c>
      <c r="EB198" s="399">
        <v>0</v>
      </c>
      <c r="EC198" s="399">
        <v>0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216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954</v>
      </c>
      <c r="C199" s="399" t="s">
        <v>2360</v>
      </c>
      <c r="D199" s="399" t="s">
        <v>533</v>
      </c>
      <c r="E199" s="399" t="s">
        <v>888</v>
      </c>
      <c r="F199" s="399" t="s">
        <v>1237</v>
      </c>
      <c r="G199" s="399" t="s">
        <v>1237</v>
      </c>
      <c r="H199" s="399" t="s">
        <v>1237</v>
      </c>
      <c r="I199" s="399" t="s">
        <v>1237</v>
      </c>
      <c r="J199" s="399" t="s">
        <v>2353</v>
      </c>
      <c r="K199" s="789">
        <v>44593</v>
      </c>
      <c r="L199" s="399">
        <v>5734</v>
      </c>
      <c r="M199" s="399">
        <v>5734</v>
      </c>
      <c r="N199" s="399">
        <v>0</v>
      </c>
      <c r="O199" s="399">
        <v>0</v>
      </c>
      <c r="P199" s="399">
        <v>0</v>
      </c>
      <c r="Q199" s="399">
        <v>0</v>
      </c>
      <c r="R199" s="399">
        <v>28.04</v>
      </c>
      <c r="S199" s="399"/>
      <c r="T199" s="399"/>
      <c r="U199" s="399">
        <v>160781.35999999999</v>
      </c>
      <c r="V199" s="399"/>
      <c r="W199" s="399">
        <v>160781.35999999999</v>
      </c>
      <c r="X199" s="399">
        <v>120758.04</v>
      </c>
      <c r="Y199" s="399">
        <v>0</v>
      </c>
      <c r="Z199" s="399">
        <v>0</v>
      </c>
      <c r="AA199" s="399">
        <v>0</v>
      </c>
      <c r="AB199" s="399">
        <v>0</v>
      </c>
      <c r="AC199" s="399">
        <v>0</v>
      </c>
      <c r="AD199" s="399">
        <v>63479.264180087652</v>
      </c>
      <c r="AE199" s="399">
        <v>97330.63562824222</v>
      </c>
      <c r="AF199" s="399"/>
      <c r="AG199" s="399"/>
      <c r="AH199" s="399"/>
      <c r="AI199" s="399">
        <v>0</v>
      </c>
      <c r="AJ199" s="399">
        <v>0</v>
      </c>
      <c r="AK199" s="399">
        <v>0</v>
      </c>
      <c r="AL199" s="399">
        <v>0</v>
      </c>
      <c r="AM199" s="399"/>
      <c r="AN199" s="399">
        <v>0</v>
      </c>
      <c r="AO199" s="399">
        <v>0</v>
      </c>
      <c r="AP199" s="399">
        <v>0</v>
      </c>
      <c r="AQ199" s="399">
        <v>0</v>
      </c>
      <c r="AR199" s="399">
        <v>0</v>
      </c>
      <c r="AS199" s="399"/>
      <c r="AT199" s="399"/>
      <c r="AU199" s="399">
        <v>0</v>
      </c>
      <c r="AV199" s="399">
        <v>0</v>
      </c>
      <c r="AW199" s="399">
        <v>0</v>
      </c>
      <c r="AX199" s="399"/>
      <c r="AY199" s="399"/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/>
      <c r="BG199" s="399">
        <v>0</v>
      </c>
      <c r="BH199" s="399">
        <v>0</v>
      </c>
      <c r="BI199" s="399">
        <v>0</v>
      </c>
      <c r="BJ199" s="399">
        <v>0</v>
      </c>
      <c r="BK199" s="399">
        <v>398237.31</v>
      </c>
      <c r="BL199" s="399">
        <v>14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0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120758.04</v>
      </c>
      <c r="CJ199" s="399">
        <v>-40023.35000000002</v>
      </c>
      <c r="CK199" s="399"/>
      <c r="CL199" s="399"/>
      <c r="CM199" s="399"/>
      <c r="CN199" s="399"/>
      <c r="CO199" s="399">
        <v>-40023.32</v>
      </c>
      <c r="CP199" s="399">
        <v>0</v>
      </c>
      <c r="CQ199" s="399">
        <v>29</v>
      </c>
      <c r="CR199" s="399">
        <v>2642.145486250527</v>
      </c>
      <c r="CS199" s="399">
        <v>0</v>
      </c>
      <c r="CT199" s="399">
        <v>0</v>
      </c>
      <c r="CU199" s="399">
        <v>0</v>
      </c>
      <c r="CV199" s="399">
        <v>0</v>
      </c>
      <c r="CW199" s="399"/>
      <c r="CX199" s="399"/>
      <c r="CY199" s="399"/>
      <c r="CZ199" s="399">
        <v>2642.145486250527</v>
      </c>
      <c r="DA199" s="399">
        <v>0</v>
      </c>
      <c r="DB199" s="399">
        <v>0</v>
      </c>
      <c r="DC199" s="399"/>
      <c r="DD199" s="399"/>
      <c r="DE199" s="399">
        <v>0</v>
      </c>
      <c r="DF199" s="399">
        <v>0</v>
      </c>
      <c r="DG199" s="399">
        <v>0</v>
      </c>
      <c r="DH199" s="399">
        <v>0</v>
      </c>
      <c r="DI199" s="399">
        <v>0</v>
      </c>
      <c r="DJ199" s="399"/>
      <c r="DK199" s="399">
        <v>0</v>
      </c>
      <c r="DL199" s="399">
        <v>0</v>
      </c>
      <c r="DM199" s="399"/>
      <c r="DN199" s="399">
        <v>0</v>
      </c>
      <c r="DO199" s="399">
        <v>0</v>
      </c>
      <c r="DP199" s="399">
        <v>0</v>
      </c>
      <c r="DQ199" s="399">
        <v>0</v>
      </c>
      <c r="DR199" s="399">
        <v>0</v>
      </c>
      <c r="DS199" s="399"/>
      <c r="DT199" s="399"/>
      <c r="DU199" s="399">
        <v>97330.63562824222</v>
      </c>
      <c r="DV199" s="399"/>
      <c r="DW199" s="399">
        <v>0</v>
      </c>
      <c r="DX199" s="399">
        <v>0</v>
      </c>
      <c r="DY199" s="399">
        <v>-40023.319999999992</v>
      </c>
      <c r="DZ199" s="399"/>
      <c r="EA199" s="399">
        <v>0</v>
      </c>
      <c r="EB199" s="399"/>
      <c r="EC199" s="399">
        <v>-42705.987477630108</v>
      </c>
      <c r="ED199" s="399"/>
      <c r="EE199" s="399">
        <v>0</v>
      </c>
      <c r="EF199" s="399">
        <v>0</v>
      </c>
      <c r="EG199" s="399"/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/>
      <c r="EN199" s="399"/>
      <c r="EO199" s="399">
        <v>0</v>
      </c>
      <c r="EP199" s="399">
        <v>0</v>
      </c>
      <c r="EQ199" s="399"/>
      <c r="ER199" s="399">
        <v>0</v>
      </c>
      <c r="ES199" s="399"/>
      <c r="ET199" s="399">
        <v>0</v>
      </c>
      <c r="EU199" s="399"/>
      <c r="EV199" s="399">
        <v>216</v>
      </c>
      <c r="EW199" s="399"/>
      <c r="EX199" s="399"/>
      <c r="EY199" s="399"/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954</v>
      </c>
      <c r="C200" s="399" t="s">
        <v>2352</v>
      </c>
      <c r="D200" s="399" t="s">
        <v>1824</v>
      </c>
      <c r="E200" s="399" t="s">
        <v>916</v>
      </c>
      <c r="F200" s="399" t="s">
        <v>1237</v>
      </c>
      <c r="G200" s="399" t="s">
        <v>1237</v>
      </c>
      <c r="H200" s="399" t="s">
        <v>1237</v>
      </c>
      <c r="I200" s="399" t="s">
        <v>1237</v>
      </c>
      <c r="J200" s="399" t="s">
        <v>2353</v>
      </c>
      <c r="K200" s="789">
        <v>44593</v>
      </c>
      <c r="L200" s="399">
        <v>0</v>
      </c>
      <c r="M200" s="399">
        <v>0</v>
      </c>
      <c r="N200" s="399">
        <v>259.84300000000002</v>
      </c>
      <c r="O200" s="399">
        <v>259.84300000000002</v>
      </c>
      <c r="P200" s="399">
        <v>259.84300000000002</v>
      </c>
      <c r="Q200" s="399">
        <v>259.84300000000002</v>
      </c>
      <c r="R200" s="399"/>
      <c r="S200" s="399">
        <v>415.98</v>
      </c>
      <c r="T200" s="399">
        <v>215.17</v>
      </c>
      <c r="U200" s="399"/>
      <c r="V200" s="399">
        <v>163999.90945000001</v>
      </c>
      <c r="W200" s="399">
        <v>163999.90945000001</v>
      </c>
      <c r="X200" s="399">
        <v>142534.27922000003</v>
      </c>
      <c r="Y200" s="399">
        <v>0</v>
      </c>
      <c r="Z200" s="399">
        <v>15872.924908587886</v>
      </c>
      <c r="AA200" s="399">
        <v>0</v>
      </c>
      <c r="AB200" s="399">
        <v>0</v>
      </c>
      <c r="AC200" s="399">
        <v>0</v>
      </c>
      <c r="AD200" s="399">
        <v>23208.027579673377</v>
      </c>
      <c r="AE200" s="399">
        <v>65691.036619952007</v>
      </c>
      <c r="AF200" s="399">
        <v>54765.014147811075</v>
      </c>
      <c r="AG200" s="399">
        <v>1145.1214581076792</v>
      </c>
      <c r="AH200" s="399">
        <v>0</v>
      </c>
      <c r="AI200" s="399">
        <v>0</v>
      </c>
      <c r="AJ200" s="399">
        <v>0</v>
      </c>
      <c r="AK200" s="399">
        <v>0</v>
      </c>
      <c r="AL200" s="399">
        <v>2452.7740598433729</v>
      </c>
      <c r="AM200" s="399"/>
      <c r="AN200" s="399">
        <v>305.93849309432869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559.16512751477717</v>
      </c>
      <c r="BH200" s="399">
        <v>0</v>
      </c>
      <c r="BI200" s="399">
        <v>0</v>
      </c>
      <c r="BJ200" s="399">
        <v>0</v>
      </c>
      <c r="BK200" s="399">
        <v>59325.16</v>
      </c>
      <c r="BL200" s="399">
        <v>447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55324.179275325849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142532.63359999997</v>
      </c>
      <c r="CJ200" s="399">
        <v>-21467.305850000033</v>
      </c>
      <c r="CK200" s="399"/>
      <c r="CL200" s="399"/>
      <c r="CM200" s="399"/>
      <c r="CN200" s="399"/>
      <c r="CO200" s="399">
        <v>-28528.162970000008</v>
      </c>
      <c r="CP200" s="399">
        <v>7062.5327400000024</v>
      </c>
      <c r="CQ200" s="399">
        <v>29</v>
      </c>
      <c r="CR200" s="399">
        <v>7357.1670898062148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965.96874753399243</v>
      </c>
      <c r="DA200" s="399">
        <v>0</v>
      </c>
      <c r="DB200" s="399">
        <v>0</v>
      </c>
      <c r="DC200" s="399">
        <v>7062.3989414233874</v>
      </c>
      <c r="DD200" s="399">
        <v>0</v>
      </c>
      <c r="DE200" s="399">
        <v>0</v>
      </c>
      <c r="DF200" s="399">
        <v>0</v>
      </c>
      <c r="DG200" s="399">
        <v>72.10894155861638</v>
      </c>
      <c r="DH200" s="399">
        <v>0</v>
      </c>
      <c r="DI200" s="399">
        <v>-645.37721229681301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-77.987272204959936</v>
      </c>
      <c r="DP200" s="399">
        <v>-19.945056208001859</v>
      </c>
      <c r="DQ200" s="399">
        <v>0</v>
      </c>
      <c r="DR200" s="399">
        <v>0</v>
      </c>
      <c r="DS200" s="399"/>
      <c r="DT200" s="399"/>
      <c r="DU200" s="399"/>
      <c r="DV200" s="399">
        <v>65691.036619952007</v>
      </c>
      <c r="DW200" s="399">
        <v>0</v>
      </c>
      <c r="DX200" s="399">
        <v>0</v>
      </c>
      <c r="DY200" s="399">
        <v>-28528.162970000005</v>
      </c>
      <c r="DZ200" s="399">
        <v>7062.5327400000024</v>
      </c>
      <c r="EA200" s="399">
        <v>0</v>
      </c>
      <c r="EB200" s="399">
        <v>0</v>
      </c>
      <c r="EC200" s="399">
        <v>-28823.407647305794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216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2354</v>
      </c>
      <c r="C201" s="399" t="s">
        <v>2352</v>
      </c>
      <c r="D201" s="399" t="s">
        <v>1824</v>
      </c>
      <c r="E201" s="399" t="s">
        <v>916</v>
      </c>
      <c r="F201" s="399" t="s">
        <v>1237</v>
      </c>
      <c r="G201" s="399" t="s">
        <v>1237</v>
      </c>
      <c r="H201" s="399" t="s">
        <v>1237</v>
      </c>
      <c r="I201" s="399" t="s">
        <v>1237</v>
      </c>
      <c r="J201" s="399" t="s">
        <v>2353</v>
      </c>
      <c r="K201" s="789">
        <v>44593</v>
      </c>
      <c r="L201" s="399">
        <v>0</v>
      </c>
      <c r="M201" s="399">
        <v>0</v>
      </c>
      <c r="N201" s="399">
        <v>-0.86299999999999999</v>
      </c>
      <c r="O201" s="399">
        <v>-0.86299999999999999</v>
      </c>
      <c r="P201" s="399">
        <v>-0.86299999999999999</v>
      </c>
      <c r="Q201" s="399">
        <v>-0.86299999999999999</v>
      </c>
      <c r="R201" s="399"/>
      <c r="S201" s="399">
        <v>415.98</v>
      </c>
      <c r="T201" s="399">
        <v>215.17</v>
      </c>
      <c r="U201" s="399"/>
      <c r="V201" s="399">
        <v>-544.68245000000002</v>
      </c>
      <c r="W201" s="399">
        <v>-544.68245000000002</v>
      </c>
      <c r="X201" s="399">
        <v>-473.39001999999994</v>
      </c>
      <c r="Y201" s="399">
        <v>0</v>
      </c>
      <c r="Z201" s="399">
        <v>-52.717734155283559</v>
      </c>
      <c r="AA201" s="399">
        <v>0</v>
      </c>
      <c r="AB201" s="399">
        <v>0</v>
      </c>
      <c r="AC201" s="399">
        <v>0</v>
      </c>
      <c r="AD201" s="399">
        <v>-77.079343300601209</v>
      </c>
      <c r="AE201" s="399">
        <v>-218.17545442062544</v>
      </c>
      <c r="AF201" s="399">
        <v>-181.88755213556246</v>
      </c>
      <c r="AG201" s="399">
        <v>-3.8032189373849872</v>
      </c>
      <c r="AH201" s="399">
        <v>0</v>
      </c>
      <c r="AI201" s="399">
        <v>0</v>
      </c>
      <c r="AJ201" s="399">
        <v>0</v>
      </c>
      <c r="AK201" s="399">
        <v>0</v>
      </c>
      <c r="AL201" s="399">
        <v>-8.1462422064278464</v>
      </c>
      <c r="AM201" s="399"/>
      <c r="AN201" s="399">
        <v>-1.0160940242392738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-1.8571195108017251</v>
      </c>
      <c r="BH201" s="399">
        <v>0</v>
      </c>
      <c r="BI201" s="399">
        <v>0</v>
      </c>
      <c r="BJ201" s="399">
        <v>0</v>
      </c>
      <c r="BK201" s="399">
        <v>-198.64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-183.7446716463642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-471.74439999999998</v>
      </c>
      <c r="CJ201" s="399">
        <v>72.90805000000006</v>
      </c>
      <c r="CK201" s="399"/>
      <c r="CL201" s="399"/>
      <c r="CM201" s="399"/>
      <c r="CN201" s="399"/>
      <c r="CO201" s="399">
        <v>94.748770000000022</v>
      </c>
      <c r="CP201" s="399">
        <v>-23.456340000000004</v>
      </c>
      <c r="CQ201" s="399">
        <v>29</v>
      </c>
      <c r="CR201" s="399">
        <v>-24.434890293380079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-3.2082104544738144</v>
      </c>
      <c r="DA201" s="399">
        <v>0</v>
      </c>
      <c r="DB201" s="399">
        <v>0</v>
      </c>
      <c r="DC201" s="399">
        <v>-23.455895623312472</v>
      </c>
      <c r="DD201" s="399">
        <v>0</v>
      </c>
      <c r="DE201" s="399">
        <v>0</v>
      </c>
      <c r="DF201" s="399">
        <v>0</v>
      </c>
      <c r="DG201" s="399">
        <v>-0.2394908331765182</v>
      </c>
      <c r="DH201" s="399">
        <v>0</v>
      </c>
      <c r="DI201" s="399">
        <v>2.1434502149842416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0.25901415821430884</v>
      </c>
      <c r="DP201" s="399">
        <v>6.6242244384130289E-2</v>
      </c>
      <c r="DQ201" s="399">
        <v>0</v>
      </c>
      <c r="DR201" s="399">
        <v>0</v>
      </c>
      <c r="DS201" s="399"/>
      <c r="DT201" s="399"/>
      <c r="DU201" s="399"/>
      <c r="DV201" s="399">
        <v>-218.17545442062544</v>
      </c>
      <c r="DW201" s="399">
        <v>0</v>
      </c>
      <c r="DX201" s="399">
        <v>0</v>
      </c>
      <c r="DY201" s="399">
        <v>94.748770000000036</v>
      </c>
      <c r="DZ201" s="399">
        <v>-23.456339999999983</v>
      </c>
      <c r="EA201" s="399">
        <v>0</v>
      </c>
      <c r="EB201" s="399">
        <v>0</v>
      </c>
      <c r="EC201" s="399">
        <v>95.729347335217426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216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2355</v>
      </c>
      <c r="C202" s="399" t="s">
        <v>2352</v>
      </c>
      <c r="D202" s="399" t="s">
        <v>1824</v>
      </c>
      <c r="E202" s="399" t="s">
        <v>916</v>
      </c>
      <c r="F202" s="399" t="s">
        <v>1237</v>
      </c>
      <c r="G202" s="399" t="s">
        <v>1237</v>
      </c>
      <c r="H202" s="399" t="s">
        <v>1237</v>
      </c>
      <c r="I202" s="399" t="s">
        <v>1237</v>
      </c>
      <c r="J202" s="399" t="s">
        <v>2353</v>
      </c>
      <c r="K202" s="789">
        <v>44593</v>
      </c>
      <c r="L202" s="399">
        <v>0</v>
      </c>
      <c r="M202" s="399">
        <v>0</v>
      </c>
      <c r="N202" s="399">
        <v>6.4580000000000002</v>
      </c>
      <c r="O202" s="399">
        <v>6.4580000000000002</v>
      </c>
      <c r="P202" s="399">
        <v>6.4580000000000002</v>
      </c>
      <c r="Q202" s="399">
        <v>6.4580000000000002</v>
      </c>
      <c r="R202" s="399"/>
      <c r="S202" s="399">
        <v>415.98</v>
      </c>
      <c r="T202" s="399">
        <v>215.17</v>
      </c>
      <c r="U202" s="399"/>
      <c r="V202" s="399">
        <v>4075.9666999999999</v>
      </c>
      <c r="W202" s="399">
        <v>4075.9666999999999</v>
      </c>
      <c r="X202" s="399">
        <v>3542.4713199999997</v>
      </c>
      <c r="Y202" s="399">
        <v>0</v>
      </c>
      <c r="Z202" s="399">
        <v>394.49725049226095</v>
      </c>
      <c r="AA202" s="399">
        <v>0</v>
      </c>
      <c r="AB202" s="399">
        <v>0</v>
      </c>
      <c r="AC202" s="399">
        <v>0</v>
      </c>
      <c r="AD202" s="399">
        <v>576.79999888213513</v>
      </c>
      <c r="AE202" s="399">
        <v>1632.6501560236375</v>
      </c>
      <c r="AF202" s="399">
        <v>1361.1005929217408</v>
      </c>
      <c r="AG202" s="399">
        <v>28.46024090108024</v>
      </c>
      <c r="AH202" s="399">
        <v>0</v>
      </c>
      <c r="AI202" s="399">
        <v>0</v>
      </c>
      <c r="AJ202" s="399">
        <v>0</v>
      </c>
      <c r="AK202" s="399">
        <v>0</v>
      </c>
      <c r="AL202" s="399">
        <v>60.959944576026693</v>
      </c>
      <c r="AM202" s="399"/>
      <c r="AN202" s="399">
        <v>7.6036329183513685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13.8971932801362</v>
      </c>
      <c r="BH202" s="399">
        <v>0</v>
      </c>
      <c r="BI202" s="399">
        <v>0</v>
      </c>
      <c r="BJ202" s="399">
        <v>0</v>
      </c>
      <c r="BK202" s="399">
        <v>2354.38</v>
      </c>
      <c r="BL202" s="399">
        <v>7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1374.997786201877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3543.5684000000001</v>
      </c>
      <c r="CJ202" s="399">
        <v>-532.42830000000049</v>
      </c>
      <c r="CK202" s="399"/>
      <c r="CL202" s="399"/>
      <c r="CM202" s="399"/>
      <c r="CN202" s="399"/>
      <c r="CO202" s="399">
        <v>-709.02382000000011</v>
      </c>
      <c r="CP202" s="399">
        <v>175.52844000000005</v>
      </c>
      <c r="CQ202" s="399">
        <v>29</v>
      </c>
      <c r="CR202" s="399">
        <v>182.85112574119194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24.007674524903678</v>
      </c>
      <c r="DA202" s="399">
        <v>0</v>
      </c>
      <c r="DB202" s="399">
        <v>0</v>
      </c>
      <c r="DC202" s="399">
        <v>175.52511464119584</v>
      </c>
      <c r="DD202" s="399">
        <v>0</v>
      </c>
      <c r="DE202" s="399">
        <v>0</v>
      </c>
      <c r="DF202" s="399">
        <v>0</v>
      </c>
      <c r="DG202" s="399">
        <v>1.7921573588110711</v>
      </c>
      <c r="DH202" s="399">
        <v>0</v>
      </c>
      <c r="DI202" s="399">
        <v>-16.039862674818323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-1.9382542685376691</v>
      </c>
      <c r="DP202" s="399">
        <v>-0.49570384036235726</v>
      </c>
      <c r="DQ202" s="399">
        <v>0</v>
      </c>
      <c r="DR202" s="399">
        <v>0</v>
      </c>
      <c r="DS202" s="399"/>
      <c r="DT202" s="399"/>
      <c r="DU202" s="399"/>
      <c r="DV202" s="399">
        <v>1632.6501560236375</v>
      </c>
      <c r="DW202" s="399">
        <v>0</v>
      </c>
      <c r="DX202" s="399">
        <v>0</v>
      </c>
      <c r="DY202" s="399">
        <v>-709.02382000000034</v>
      </c>
      <c r="DZ202" s="399">
        <v>175.52844000000005</v>
      </c>
      <c r="EA202" s="399">
        <v>0</v>
      </c>
      <c r="EB202" s="399">
        <v>0</v>
      </c>
      <c r="EC202" s="399">
        <v>-716.36167449691084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216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954</v>
      </c>
      <c r="C203" s="399" t="s">
        <v>2360</v>
      </c>
      <c r="D203" s="399" t="s">
        <v>533</v>
      </c>
      <c r="E203" s="399" t="s">
        <v>916</v>
      </c>
      <c r="F203" s="399" t="s">
        <v>1237</v>
      </c>
      <c r="G203" s="399" t="s">
        <v>1237</v>
      </c>
      <c r="H203" s="399" t="s">
        <v>1237</v>
      </c>
      <c r="I203" s="399" t="s">
        <v>891</v>
      </c>
      <c r="J203" s="399" t="s">
        <v>2353</v>
      </c>
      <c r="K203" s="789">
        <v>44593</v>
      </c>
      <c r="L203" s="399">
        <v>0</v>
      </c>
      <c r="M203" s="399">
        <v>0</v>
      </c>
      <c r="N203" s="399">
        <v>3.0550000000000002</v>
      </c>
      <c r="O203" s="399">
        <v>3.0550000000000002</v>
      </c>
      <c r="P203" s="399">
        <v>3.0550000000000002</v>
      </c>
      <c r="Q203" s="399">
        <v>3.0550000000000002</v>
      </c>
      <c r="R203" s="399"/>
      <c r="S203" s="399">
        <v>2184.0300000000002</v>
      </c>
      <c r="T203" s="399">
        <v>215.17</v>
      </c>
      <c r="U203" s="399"/>
      <c r="V203" s="399">
        <v>7329.5560000000014</v>
      </c>
      <c r="W203" s="399">
        <v>7329.5560000000014</v>
      </c>
      <c r="X203" s="399">
        <v>5530.7414500000004</v>
      </c>
      <c r="Y203" s="399">
        <v>0</v>
      </c>
      <c r="Z203" s="399">
        <v>162.35901474463526</v>
      </c>
      <c r="AA203" s="399">
        <v>0</v>
      </c>
      <c r="AB203" s="399">
        <v>0</v>
      </c>
      <c r="AC203" s="399">
        <v>0</v>
      </c>
      <c r="AD203" s="399">
        <v>2013.227483097849</v>
      </c>
      <c r="AE203" s="399">
        <v>4463.135272425714</v>
      </c>
      <c r="AF203" s="399">
        <v>643.87771932113947</v>
      </c>
      <c r="AG203" s="399">
        <v>13.463306898854155</v>
      </c>
      <c r="AH203" s="399">
        <v>0</v>
      </c>
      <c r="AI203" s="399">
        <v>0</v>
      </c>
      <c r="AJ203" s="399">
        <v>0</v>
      </c>
      <c r="AK203" s="399">
        <v>0</v>
      </c>
      <c r="AL203" s="399">
        <v>28.837508621827428</v>
      </c>
      <c r="AM203" s="399"/>
      <c r="AN203" s="399">
        <v>2.1075609338967745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2.5382500472122596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646.41596936835174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5539.7934000000005</v>
      </c>
      <c r="CJ203" s="399">
        <v>-1789.7926000000016</v>
      </c>
      <c r="CK203" s="399"/>
      <c r="CL203" s="399"/>
      <c r="CM203" s="399"/>
      <c r="CN203" s="399"/>
      <c r="CO203" s="399">
        <v>-1881.8494500000008</v>
      </c>
      <c r="CP203" s="399">
        <v>83.034900000000022</v>
      </c>
      <c r="CQ203" s="399">
        <v>29</v>
      </c>
      <c r="CR203" s="399">
        <v>159.49991867332346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83.79492068737045</v>
      </c>
      <c r="DA203" s="399">
        <v>0</v>
      </c>
      <c r="DB203" s="399">
        <v>0</v>
      </c>
      <c r="DC203" s="399">
        <v>83.033326916824535</v>
      </c>
      <c r="DD203" s="399">
        <v>0</v>
      </c>
      <c r="DE203" s="399">
        <v>0</v>
      </c>
      <c r="DF203" s="399">
        <v>0</v>
      </c>
      <c r="DG203" s="399">
        <v>0.32732821721030758</v>
      </c>
      <c r="DH203" s="399">
        <v>0</v>
      </c>
      <c r="DI203" s="399">
        <v>-6.6013547553831415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-0.91690411743303812</v>
      </c>
      <c r="DP203" s="399">
        <v>-0.13739827526509396</v>
      </c>
      <c r="DQ203" s="399">
        <v>0</v>
      </c>
      <c r="DR203" s="399">
        <v>0</v>
      </c>
      <c r="DS203" s="399"/>
      <c r="DT203" s="399"/>
      <c r="DU203" s="399"/>
      <c r="DV203" s="399">
        <v>4463.135272425714</v>
      </c>
      <c r="DW203" s="399">
        <v>0</v>
      </c>
      <c r="DX203" s="399">
        <v>0</v>
      </c>
      <c r="DY203" s="399">
        <v>-1881.8494500000006</v>
      </c>
      <c r="DZ203" s="399">
        <v>83.034900000000107</v>
      </c>
      <c r="EA203" s="399">
        <v>0</v>
      </c>
      <c r="EB203" s="399">
        <v>0</v>
      </c>
      <c r="EC203" s="399">
        <v>-1958.3001572412927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216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954</v>
      </c>
      <c r="C204" s="399" t="s">
        <v>2360</v>
      </c>
      <c r="D204" s="399" t="s">
        <v>533</v>
      </c>
      <c r="E204" s="399" t="s">
        <v>916</v>
      </c>
      <c r="F204" s="399" t="s">
        <v>1237</v>
      </c>
      <c r="G204" s="399" t="s">
        <v>1237</v>
      </c>
      <c r="H204" s="399" t="s">
        <v>1237</v>
      </c>
      <c r="I204" s="399" t="s">
        <v>2327</v>
      </c>
      <c r="J204" s="399" t="s">
        <v>2353</v>
      </c>
      <c r="K204" s="789">
        <v>44593</v>
      </c>
      <c r="L204" s="399">
        <v>0</v>
      </c>
      <c r="M204" s="399">
        <v>0</v>
      </c>
      <c r="N204" s="399">
        <v>31.585000000000001</v>
      </c>
      <c r="O204" s="399">
        <v>31.585000000000001</v>
      </c>
      <c r="P204" s="399">
        <v>31.585000000000001</v>
      </c>
      <c r="Q204" s="399">
        <v>31.585000000000001</v>
      </c>
      <c r="R204" s="399"/>
      <c r="S204" s="399">
        <v>64.11</v>
      </c>
      <c r="T204" s="399">
        <v>215.17</v>
      </c>
      <c r="U204" s="399"/>
      <c r="V204" s="399">
        <v>8821.0587999999989</v>
      </c>
      <c r="W204" s="399">
        <v>8821.0587999999989</v>
      </c>
      <c r="X204" s="399">
        <v>9603.7350999999999</v>
      </c>
      <c r="Y204" s="399">
        <v>0</v>
      </c>
      <c r="Z204" s="399">
        <v>1678.5955747002633</v>
      </c>
      <c r="AA204" s="399">
        <v>0</v>
      </c>
      <c r="AB204" s="399">
        <v>0</v>
      </c>
      <c r="AC204" s="399">
        <v>0</v>
      </c>
      <c r="AD204" s="399">
        <v>0</v>
      </c>
      <c r="AE204" s="399">
        <v>0</v>
      </c>
      <c r="AF204" s="399">
        <v>6656.9157986115179</v>
      </c>
      <c r="AG204" s="399">
        <v>139.19428752874256</v>
      </c>
      <c r="AH204" s="399">
        <v>0</v>
      </c>
      <c r="AI204" s="399">
        <v>0</v>
      </c>
      <c r="AJ204" s="399">
        <v>0</v>
      </c>
      <c r="AK204" s="399">
        <v>0</v>
      </c>
      <c r="AL204" s="399">
        <v>298.1449131981733</v>
      </c>
      <c r="AM204" s="399"/>
      <c r="AN204" s="399">
        <v>21.789627527702002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26.242431339181415</v>
      </c>
      <c r="BH204" s="399">
        <v>0</v>
      </c>
      <c r="BI204" s="399">
        <v>0</v>
      </c>
      <c r="BJ204" s="399">
        <v>0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6683.158229950699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9605.2554</v>
      </c>
      <c r="CJ204" s="399">
        <v>784.16660000000047</v>
      </c>
      <c r="CK204" s="399"/>
      <c r="CL204" s="399"/>
      <c r="CM204" s="399"/>
      <c r="CN204" s="399"/>
      <c r="CO204" s="399">
        <v>-75.803999999999959</v>
      </c>
      <c r="CP204" s="399">
        <v>858.48030000000028</v>
      </c>
      <c r="CQ204" s="399">
        <v>29</v>
      </c>
      <c r="CR204" s="399">
        <v>782.69799063382925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0</v>
      </c>
      <c r="DA204" s="399">
        <v>0</v>
      </c>
      <c r="DB204" s="399">
        <v>0</v>
      </c>
      <c r="DC204" s="399">
        <v>858.46403622517391</v>
      </c>
      <c r="DD204" s="399">
        <v>0</v>
      </c>
      <c r="DE204" s="399">
        <v>0</v>
      </c>
      <c r="DF204" s="399">
        <v>0</v>
      </c>
      <c r="DG204" s="399">
        <v>3.3841773291612292</v>
      </c>
      <c r="DH204" s="399">
        <v>0</v>
      </c>
      <c r="DI204" s="399">
        <v>-68.250013076522464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-9.479678084819227</v>
      </c>
      <c r="DP204" s="399">
        <v>-1.4205317591646462</v>
      </c>
      <c r="DQ204" s="399">
        <v>0</v>
      </c>
      <c r="DR204" s="399">
        <v>0</v>
      </c>
      <c r="DS204" s="399"/>
      <c r="DT204" s="399"/>
      <c r="DU204" s="399"/>
      <c r="DV204" s="399">
        <v>0</v>
      </c>
      <c r="DW204" s="399">
        <v>0</v>
      </c>
      <c r="DX204" s="399">
        <v>0</v>
      </c>
      <c r="DY204" s="399">
        <v>-75.80399999999986</v>
      </c>
      <c r="DZ204" s="399">
        <v>858.48030000000017</v>
      </c>
      <c r="EA204" s="399">
        <v>0</v>
      </c>
      <c r="EB204" s="399">
        <v>0</v>
      </c>
      <c r="EC204" s="399">
        <v>0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216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954</v>
      </c>
      <c r="C205" s="399" t="s">
        <v>2360</v>
      </c>
      <c r="D205" s="399" t="s">
        <v>533</v>
      </c>
      <c r="E205" s="399" t="s">
        <v>916</v>
      </c>
      <c r="F205" s="399" t="s">
        <v>1237</v>
      </c>
      <c r="G205" s="399" t="s">
        <v>1237</v>
      </c>
      <c r="H205" s="399" t="s">
        <v>1237</v>
      </c>
      <c r="I205" s="399" t="s">
        <v>1237</v>
      </c>
      <c r="J205" s="399" t="s">
        <v>2353</v>
      </c>
      <c r="K205" s="789">
        <v>44593</v>
      </c>
      <c r="L205" s="399">
        <v>110</v>
      </c>
      <c r="M205" s="399">
        <v>110</v>
      </c>
      <c r="N205" s="399">
        <v>0</v>
      </c>
      <c r="O205" s="399">
        <v>0</v>
      </c>
      <c r="P205" s="399">
        <v>0</v>
      </c>
      <c r="Q205" s="399">
        <v>0</v>
      </c>
      <c r="R205" s="399">
        <v>28.04</v>
      </c>
      <c r="S205" s="399"/>
      <c r="T205" s="399"/>
      <c r="U205" s="399">
        <v>3084.4</v>
      </c>
      <c r="V205" s="399"/>
      <c r="W205" s="399">
        <v>3084.4</v>
      </c>
      <c r="X205" s="399">
        <v>2316.6</v>
      </c>
      <c r="Y205" s="399">
        <v>0</v>
      </c>
      <c r="Z205" s="399">
        <v>0</v>
      </c>
      <c r="AA205" s="399">
        <v>0</v>
      </c>
      <c r="AB205" s="399">
        <v>0</v>
      </c>
      <c r="AC205" s="399">
        <v>0</v>
      </c>
      <c r="AD205" s="399">
        <v>1217.7745133954729</v>
      </c>
      <c r="AE205" s="399">
        <v>1867.1729890315041</v>
      </c>
      <c r="AF205" s="399"/>
      <c r="AG205" s="399"/>
      <c r="AH205" s="399"/>
      <c r="AI205" s="399">
        <v>0</v>
      </c>
      <c r="AJ205" s="399">
        <v>0</v>
      </c>
      <c r="AK205" s="399">
        <v>0</v>
      </c>
      <c r="AL205" s="399">
        <v>0</v>
      </c>
      <c r="AM205" s="399"/>
      <c r="AN205" s="399">
        <v>0</v>
      </c>
      <c r="AO205" s="399">
        <v>0</v>
      </c>
      <c r="AP205" s="399">
        <v>0</v>
      </c>
      <c r="AQ205" s="399">
        <v>0</v>
      </c>
      <c r="AR205" s="399">
        <v>0</v>
      </c>
      <c r="AS205" s="399"/>
      <c r="AT205" s="399"/>
      <c r="AU205" s="399">
        <v>0</v>
      </c>
      <c r="AV205" s="399">
        <v>0</v>
      </c>
      <c r="AW205" s="399">
        <v>0</v>
      </c>
      <c r="AX205" s="399"/>
      <c r="AY205" s="399"/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/>
      <c r="BG205" s="399">
        <v>0</v>
      </c>
      <c r="BH205" s="399">
        <v>0</v>
      </c>
      <c r="BI205" s="399">
        <v>0</v>
      </c>
      <c r="BJ205" s="399">
        <v>0</v>
      </c>
      <c r="BK205" s="399">
        <v>6770.11</v>
      </c>
      <c r="BL205" s="399">
        <v>1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0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2316.6</v>
      </c>
      <c r="CJ205" s="399">
        <v>-767.83000000000084</v>
      </c>
      <c r="CK205" s="399"/>
      <c r="CL205" s="399"/>
      <c r="CM205" s="399"/>
      <c r="CN205" s="399"/>
      <c r="CO205" s="399">
        <v>-767.80000000000007</v>
      </c>
      <c r="CP205" s="399">
        <v>0</v>
      </c>
      <c r="CQ205" s="399">
        <v>29</v>
      </c>
      <c r="CR205" s="399">
        <v>50.686432418478944</v>
      </c>
      <c r="CS205" s="399">
        <v>0</v>
      </c>
      <c r="CT205" s="399">
        <v>0</v>
      </c>
      <c r="CU205" s="399">
        <v>0</v>
      </c>
      <c r="CV205" s="399">
        <v>0</v>
      </c>
      <c r="CW205" s="399"/>
      <c r="CX205" s="399"/>
      <c r="CY205" s="399"/>
      <c r="CZ205" s="399">
        <v>50.686432418478944</v>
      </c>
      <c r="DA205" s="399">
        <v>0</v>
      </c>
      <c r="DB205" s="399">
        <v>0</v>
      </c>
      <c r="DC205" s="399"/>
      <c r="DD205" s="399"/>
      <c r="DE205" s="399">
        <v>0</v>
      </c>
      <c r="DF205" s="399">
        <v>0</v>
      </c>
      <c r="DG205" s="399">
        <v>0</v>
      </c>
      <c r="DH205" s="399">
        <v>0</v>
      </c>
      <c r="DI205" s="399">
        <v>0</v>
      </c>
      <c r="DJ205" s="399"/>
      <c r="DK205" s="399">
        <v>0</v>
      </c>
      <c r="DL205" s="399">
        <v>0</v>
      </c>
      <c r="DM205" s="399"/>
      <c r="DN205" s="399">
        <v>0</v>
      </c>
      <c r="DO205" s="399">
        <v>0</v>
      </c>
      <c r="DP205" s="399">
        <v>0</v>
      </c>
      <c r="DQ205" s="399">
        <v>0</v>
      </c>
      <c r="DR205" s="399">
        <v>0</v>
      </c>
      <c r="DS205" s="399"/>
      <c r="DT205" s="399"/>
      <c r="DU205" s="399">
        <v>1867.1729890315041</v>
      </c>
      <c r="DV205" s="399"/>
      <c r="DW205" s="399">
        <v>0</v>
      </c>
      <c r="DX205" s="399">
        <v>0</v>
      </c>
      <c r="DY205" s="399">
        <v>-767.80000000000018</v>
      </c>
      <c r="DZ205" s="399"/>
      <c r="EA205" s="399">
        <v>0</v>
      </c>
      <c r="EB205" s="399"/>
      <c r="EC205" s="399">
        <v>-819.26379883838717</v>
      </c>
      <c r="ED205" s="399"/>
      <c r="EE205" s="399">
        <v>0</v>
      </c>
      <c r="EF205" s="399">
        <v>0</v>
      </c>
      <c r="EG205" s="399"/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/>
      <c r="EN205" s="399"/>
      <c r="EO205" s="399">
        <v>0</v>
      </c>
      <c r="EP205" s="399">
        <v>0</v>
      </c>
      <c r="EQ205" s="399"/>
      <c r="ER205" s="399">
        <v>0</v>
      </c>
      <c r="ES205" s="399"/>
      <c r="ET205" s="399">
        <v>0</v>
      </c>
      <c r="EU205" s="399"/>
      <c r="EV205" s="399">
        <v>216</v>
      </c>
      <c r="EW205" s="399"/>
      <c r="EX205" s="399"/>
      <c r="EY205" s="399"/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954</v>
      </c>
      <c r="C206" s="399" t="s">
        <v>2361</v>
      </c>
      <c r="D206" s="399" t="s">
        <v>1824</v>
      </c>
      <c r="E206" s="399" t="s">
        <v>916</v>
      </c>
      <c r="F206" s="399" t="s">
        <v>1237</v>
      </c>
      <c r="G206" s="399" t="s">
        <v>1237</v>
      </c>
      <c r="H206" s="399" t="s">
        <v>1237</v>
      </c>
      <c r="I206" s="399" t="s">
        <v>891</v>
      </c>
      <c r="J206" s="399" t="s">
        <v>2353</v>
      </c>
      <c r="K206" s="789">
        <v>44593</v>
      </c>
      <c r="L206" s="399">
        <v>0</v>
      </c>
      <c r="M206" s="399">
        <v>0</v>
      </c>
      <c r="N206" s="399">
        <v>0.106</v>
      </c>
      <c r="O206" s="399">
        <v>0.106</v>
      </c>
      <c r="P206" s="399">
        <v>0.106</v>
      </c>
      <c r="Q206" s="399">
        <v>0.106</v>
      </c>
      <c r="R206" s="399"/>
      <c r="S206" s="399">
        <v>1254.27</v>
      </c>
      <c r="T206" s="399">
        <v>215.17</v>
      </c>
      <c r="U206" s="399"/>
      <c r="V206" s="399">
        <v>155.76064</v>
      </c>
      <c r="W206" s="399">
        <v>155.76064</v>
      </c>
      <c r="X206" s="399">
        <v>119.16202</v>
      </c>
      <c r="Y206" s="399">
        <v>0</v>
      </c>
      <c r="Z206" s="399">
        <v>6.475179397983843</v>
      </c>
      <c r="AA206" s="399">
        <v>0</v>
      </c>
      <c r="AB206" s="399">
        <v>0</v>
      </c>
      <c r="AC206" s="399">
        <v>0</v>
      </c>
      <c r="AD206" s="399">
        <v>32.670874626403588</v>
      </c>
      <c r="AE206" s="399">
        <v>92.452769678768121</v>
      </c>
      <c r="AF206" s="399">
        <v>22.340765383974066</v>
      </c>
      <c r="AG206" s="399">
        <v>0.46713929010754185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1.0005813138833739</v>
      </c>
      <c r="AM206" s="399"/>
      <c r="AN206" s="399">
        <v>0.12480413275708346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0.2281050615816719</v>
      </c>
      <c r="BH206" s="399">
        <v>0</v>
      </c>
      <c r="BI206" s="399">
        <v>0</v>
      </c>
      <c r="BJ206" s="399">
        <v>0</v>
      </c>
      <c r="BK206" s="399">
        <v>0</v>
      </c>
      <c r="BL206" s="399">
        <v>0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22.568870445555739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123.65870000000001</v>
      </c>
      <c r="CJ206" s="399">
        <v>-32.131939999999958</v>
      </c>
      <c r="CK206" s="399"/>
      <c r="CL206" s="399"/>
      <c r="CM206" s="399"/>
      <c r="CN206" s="399"/>
      <c r="CO206" s="399">
        <v>-39.479699999999994</v>
      </c>
      <c r="CP206" s="399">
        <v>2.8810800000000008</v>
      </c>
      <c r="CQ206" s="399">
        <v>29</v>
      </c>
      <c r="CR206" s="399">
        <v>3.967049848342306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1.3598330894499924</v>
      </c>
      <c r="DA206" s="399">
        <v>0</v>
      </c>
      <c r="DB206" s="399">
        <v>0</v>
      </c>
      <c r="DC206" s="399">
        <v>2.8810254183906423</v>
      </c>
      <c r="DD206" s="399">
        <v>0</v>
      </c>
      <c r="DE206" s="399">
        <v>0</v>
      </c>
      <c r="DF206" s="399">
        <v>0</v>
      </c>
      <c r="DG206" s="399">
        <v>2.9416023541959352E-2</v>
      </c>
      <c r="DH206" s="399">
        <v>0</v>
      </c>
      <c r="DI206" s="399">
        <v>-0.26327430218809855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-3.1814021750540822E-2</v>
      </c>
      <c r="DP206" s="399">
        <v>-8.1363591016428982E-3</v>
      </c>
      <c r="DQ206" s="399">
        <v>0</v>
      </c>
      <c r="DR206" s="399">
        <v>0</v>
      </c>
      <c r="DS206" s="399"/>
      <c r="DT206" s="399"/>
      <c r="DU206" s="399"/>
      <c r="DV206" s="399">
        <v>92.452769678768121</v>
      </c>
      <c r="DW206" s="399">
        <v>0</v>
      </c>
      <c r="DX206" s="399">
        <v>0</v>
      </c>
      <c r="DY206" s="399">
        <v>-39.479699999999994</v>
      </c>
      <c r="DZ206" s="399">
        <v>2.8810800000000008</v>
      </c>
      <c r="EA206" s="399">
        <v>0</v>
      </c>
      <c r="EB206" s="399">
        <v>0</v>
      </c>
      <c r="EC206" s="399">
        <v>-40.565714984686934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216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954</v>
      </c>
      <c r="C207" s="399" t="s">
        <v>2361</v>
      </c>
      <c r="D207" s="399" t="s">
        <v>1824</v>
      </c>
      <c r="E207" s="399" t="s">
        <v>916</v>
      </c>
      <c r="F207" s="399" t="s">
        <v>1237</v>
      </c>
      <c r="G207" s="399" t="s">
        <v>1237</v>
      </c>
      <c r="H207" s="399" t="s">
        <v>1237</v>
      </c>
      <c r="I207" s="399" t="s">
        <v>2327</v>
      </c>
      <c r="J207" s="399" t="s">
        <v>2353</v>
      </c>
      <c r="K207" s="789">
        <v>44593</v>
      </c>
      <c r="L207" s="399">
        <v>0</v>
      </c>
      <c r="M207" s="399">
        <v>0</v>
      </c>
      <c r="N207" s="399">
        <v>1.2609999999999999</v>
      </c>
      <c r="O207" s="399">
        <v>1.2609999999999999</v>
      </c>
      <c r="P207" s="399">
        <v>1.2609999999999999</v>
      </c>
      <c r="Q207" s="399">
        <v>1.2609999999999999</v>
      </c>
      <c r="R207" s="399"/>
      <c r="S207" s="399">
        <v>309.91000000000003</v>
      </c>
      <c r="T207" s="399">
        <v>215.17</v>
      </c>
      <c r="U207" s="399"/>
      <c r="V207" s="399">
        <v>662.12588000000005</v>
      </c>
      <c r="W207" s="399">
        <v>662.12588000000005</v>
      </c>
      <c r="X207" s="399">
        <v>599.85770000000002</v>
      </c>
      <c r="Y207" s="399">
        <v>0</v>
      </c>
      <c r="Z207" s="399">
        <v>77.030200196770053</v>
      </c>
      <c r="AA207" s="399">
        <v>0</v>
      </c>
      <c r="AB207" s="399">
        <v>0</v>
      </c>
      <c r="AC207" s="399">
        <v>0</v>
      </c>
      <c r="AD207" s="399">
        <v>77.698621380592883</v>
      </c>
      <c r="AE207" s="399">
        <v>219.96802469967699</v>
      </c>
      <c r="AF207" s="399">
        <v>265.77080329425752</v>
      </c>
      <c r="AG207" s="399">
        <v>5.5571947625057572</v>
      </c>
      <c r="AH207" s="399">
        <v>0</v>
      </c>
      <c r="AI207" s="399">
        <v>0</v>
      </c>
      <c r="AJ207" s="399">
        <v>0</v>
      </c>
      <c r="AK207" s="399">
        <v>0</v>
      </c>
      <c r="AL207" s="399">
        <v>11.903141856669192</v>
      </c>
      <c r="AM207" s="399"/>
      <c r="AN207" s="399">
        <v>1.4846982208177568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2.7135894590046061</v>
      </c>
      <c r="BH207" s="399">
        <v>0</v>
      </c>
      <c r="BI207" s="399">
        <v>0</v>
      </c>
      <c r="BJ207" s="399">
        <v>0</v>
      </c>
      <c r="BK207" s="399">
        <v>0</v>
      </c>
      <c r="BL207" s="399">
        <v>0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268.48439275326211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599.38200000000006</v>
      </c>
      <c r="CJ207" s="399">
        <v>-62.773879999999963</v>
      </c>
      <c r="CK207" s="399"/>
      <c r="CL207" s="399"/>
      <c r="CM207" s="399"/>
      <c r="CN207" s="399"/>
      <c r="CO207" s="399">
        <v>-96.542160000000024</v>
      </c>
      <c r="CP207" s="399">
        <v>34.273980000000009</v>
      </c>
      <c r="CQ207" s="399">
        <v>29</v>
      </c>
      <c r="CR207" s="399">
        <v>34.250027036432755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3.2339861594212351</v>
      </c>
      <c r="DA207" s="399">
        <v>0</v>
      </c>
      <c r="DB207" s="399">
        <v>0</v>
      </c>
      <c r="DC207" s="399">
        <v>34.273330684816983</v>
      </c>
      <c r="DD207" s="399">
        <v>0</v>
      </c>
      <c r="DE207" s="399">
        <v>0</v>
      </c>
      <c r="DF207" s="399">
        <v>0</v>
      </c>
      <c r="DG207" s="399">
        <v>0.3499396762868936</v>
      </c>
      <c r="DH207" s="399">
        <v>0</v>
      </c>
      <c r="DI207" s="399">
        <v>-3.1319707081055981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-0.37846680591916915</v>
      </c>
      <c r="DP207" s="399">
        <v>-9.6791970067657385E-2</v>
      </c>
      <c r="DQ207" s="399">
        <v>0</v>
      </c>
      <c r="DR207" s="399">
        <v>0</v>
      </c>
      <c r="DS207" s="399"/>
      <c r="DT207" s="399"/>
      <c r="DU207" s="399"/>
      <c r="DV207" s="399">
        <v>219.96802469967699</v>
      </c>
      <c r="DW207" s="399">
        <v>0</v>
      </c>
      <c r="DX207" s="399">
        <v>0</v>
      </c>
      <c r="DY207" s="399">
        <v>-96.542160000000024</v>
      </c>
      <c r="DZ207" s="399">
        <v>34.273979999999995</v>
      </c>
      <c r="EA207" s="399">
        <v>0</v>
      </c>
      <c r="EB207" s="399">
        <v>0</v>
      </c>
      <c r="EC207" s="399">
        <v>-96.515877530934461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216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954</v>
      </c>
      <c r="C208" s="399" t="s">
        <v>2361</v>
      </c>
      <c r="D208" s="399" t="s">
        <v>1824</v>
      </c>
      <c r="E208" s="399" t="s">
        <v>916</v>
      </c>
      <c r="F208" s="399" t="s">
        <v>1237</v>
      </c>
      <c r="G208" s="399" t="s">
        <v>1237</v>
      </c>
      <c r="H208" s="399" t="s">
        <v>1237</v>
      </c>
      <c r="I208" s="399" t="s">
        <v>1237</v>
      </c>
      <c r="J208" s="399" t="s">
        <v>2353</v>
      </c>
      <c r="K208" s="789">
        <v>44593</v>
      </c>
      <c r="L208" s="399">
        <v>0</v>
      </c>
      <c r="M208" s="399">
        <v>0</v>
      </c>
      <c r="N208" s="399">
        <v>0</v>
      </c>
      <c r="O208" s="399">
        <v>0</v>
      </c>
      <c r="P208" s="399">
        <v>0</v>
      </c>
      <c r="Q208" s="399">
        <v>0</v>
      </c>
      <c r="R208" s="399"/>
      <c r="S208" s="399"/>
      <c r="T208" s="399"/>
      <c r="U208" s="399"/>
      <c r="V208" s="399"/>
      <c r="W208" s="399"/>
      <c r="X208" s="399"/>
      <c r="Y208" s="399"/>
      <c r="Z208" s="399"/>
      <c r="AA208" s="399">
        <v>0</v>
      </c>
      <c r="AB208" s="399"/>
      <c r="AC208" s="399"/>
      <c r="AD208" s="399"/>
      <c r="AE208" s="399"/>
      <c r="AF208" s="399"/>
      <c r="AG208" s="399"/>
      <c r="AH208" s="399"/>
      <c r="AI208" s="399"/>
      <c r="AJ208" s="399"/>
      <c r="AK208" s="399"/>
      <c r="AL208" s="399"/>
      <c r="AM208" s="399"/>
      <c r="AN208" s="399"/>
      <c r="AO208" s="399"/>
      <c r="AP208" s="399"/>
      <c r="AQ208" s="399"/>
      <c r="AR208" s="399"/>
      <c r="AS208" s="399"/>
      <c r="AT208" s="399"/>
      <c r="AU208" s="399"/>
      <c r="AV208" s="399"/>
      <c r="AW208" s="399"/>
      <c r="AX208" s="399"/>
      <c r="AY208" s="399"/>
      <c r="AZ208" s="399">
        <v>0</v>
      </c>
      <c r="BA208" s="399"/>
      <c r="BB208" s="399"/>
      <c r="BC208" s="399"/>
      <c r="BD208" s="399"/>
      <c r="BE208" s="399"/>
      <c r="BF208" s="399"/>
      <c r="BG208" s="399"/>
      <c r="BH208" s="399"/>
      <c r="BI208" s="399">
        <v>0</v>
      </c>
      <c r="BJ208" s="399">
        <v>0</v>
      </c>
      <c r="BK208" s="399">
        <v>326.02999999999997</v>
      </c>
      <c r="BL208" s="399">
        <v>1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/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/>
      <c r="CJ208" s="399">
        <v>-0.03</v>
      </c>
      <c r="CK208" s="399"/>
      <c r="CL208" s="399"/>
      <c r="CM208" s="399"/>
      <c r="CN208" s="399"/>
      <c r="CO208" s="399">
        <v>0</v>
      </c>
      <c r="CP208" s="399">
        <v>0</v>
      </c>
      <c r="CQ208" s="399">
        <v>29</v>
      </c>
      <c r="CR208" s="399"/>
      <c r="CS208" s="399"/>
      <c r="CT208" s="399"/>
      <c r="CU208" s="399"/>
      <c r="CV208" s="399"/>
      <c r="CW208" s="399"/>
      <c r="CX208" s="399"/>
      <c r="CY208" s="399"/>
      <c r="CZ208" s="399"/>
      <c r="DA208" s="399"/>
      <c r="DB208" s="399"/>
      <c r="DC208" s="399"/>
      <c r="DD208" s="399"/>
      <c r="DE208" s="399"/>
      <c r="DF208" s="399"/>
      <c r="DG208" s="399"/>
      <c r="DH208" s="399"/>
      <c r="DI208" s="399"/>
      <c r="DJ208" s="399"/>
      <c r="DK208" s="399">
        <v>0</v>
      </c>
      <c r="DL208" s="399"/>
      <c r="DM208" s="399"/>
      <c r="DN208" s="399"/>
      <c r="DO208" s="399"/>
      <c r="DP208" s="399"/>
      <c r="DQ208" s="399"/>
      <c r="DR208" s="399"/>
      <c r="DS208" s="399"/>
      <c r="DT208" s="399"/>
      <c r="DU208" s="399"/>
      <c r="DV208" s="399"/>
      <c r="DW208" s="399"/>
      <c r="DX208" s="399"/>
      <c r="DY208" s="399"/>
      <c r="DZ208" s="399"/>
      <c r="EA208" s="399"/>
      <c r="EB208" s="399"/>
      <c r="EC208" s="399"/>
      <c r="ED208" s="399"/>
      <c r="EE208" s="399"/>
      <c r="EF208" s="399"/>
      <c r="EG208" s="399"/>
      <c r="EH208" s="399"/>
      <c r="EI208" s="399"/>
      <c r="EJ208" s="399"/>
      <c r="EK208" s="399"/>
      <c r="EL208" s="399"/>
      <c r="EM208" s="399"/>
      <c r="EN208" s="399"/>
      <c r="EO208" s="399"/>
      <c r="EP208" s="399"/>
      <c r="EQ208" s="399"/>
      <c r="ER208" s="399"/>
      <c r="ES208" s="399"/>
      <c r="ET208" s="399"/>
      <c r="EU208" s="399"/>
      <c r="EV208" s="399">
        <v>216</v>
      </c>
      <c r="EW208" s="399"/>
      <c r="EX208" s="399"/>
      <c r="EY208" s="399"/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954</v>
      </c>
      <c r="C209" s="399" t="s">
        <v>2361</v>
      </c>
      <c r="D209" s="399" t="s">
        <v>1824</v>
      </c>
      <c r="E209" s="399" t="s">
        <v>916</v>
      </c>
      <c r="F209" s="399" t="s">
        <v>1237</v>
      </c>
      <c r="G209" s="399" t="s">
        <v>1237</v>
      </c>
      <c r="H209" s="399" t="s">
        <v>1237</v>
      </c>
      <c r="I209" s="399" t="s">
        <v>2362</v>
      </c>
      <c r="J209" s="399" t="s">
        <v>2353</v>
      </c>
      <c r="K209" s="789">
        <v>44593</v>
      </c>
      <c r="L209" s="399">
        <v>0</v>
      </c>
      <c r="M209" s="399">
        <v>0</v>
      </c>
      <c r="N209" s="399">
        <v>6.9000000000000006E-2</v>
      </c>
      <c r="O209" s="399">
        <v>6.9000000000000006E-2</v>
      </c>
      <c r="P209" s="399">
        <v>6.9000000000000006E-2</v>
      </c>
      <c r="Q209" s="399">
        <v>6.9000000000000006E-2</v>
      </c>
      <c r="R209" s="399"/>
      <c r="S209" s="399">
        <v>782.07</v>
      </c>
      <c r="T209" s="399">
        <v>215.17</v>
      </c>
      <c r="U209" s="399"/>
      <c r="V209" s="399">
        <v>68.809560000000005</v>
      </c>
      <c r="W209" s="399">
        <v>68.809560000000005</v>
      </c>
      <c r="X209" s="399">
        <v>55.193790000000007</v>
      </c>
      <c r="Y209" s="399">
        <v>0</v>
      </c>
      <c r="Z209" s="399">
        <v>4.2149752684989172</v>
      </c>
      <c r="AA209" s="399">
        <v>0</v>
      </c>
      <c r="AB209" s="399">
        <v>0</v>
      </c>
      <c r="AC209" s="399">
        <v>0</v>
      </c>
      <c r="AD209" s="399">
        <v>12.75769703958469</v>
      </c>
      <c r="AE209" s="399">
        <v>36.108906225661286</v>
      </c>
      <c r="AF209" s="399">
        <v>14.542573693341611</v>
      </c>
      <c r="AG209" s="399">
        <v>0.30408123601339992</v>
      </c>
      <c r="AH209" s="399">
        <v>0</v>
      </c>
      <c r="AI209" s="399">
        <v>0</v>
      </c>
      <c r="AJ209" s="399">
        <v>0</v>
      </c>
      <c r="AK209" s="399">
        <v>0</v>
      </c>
      <c r="AL209" s="399">
        <v>0.65132179865993212</v>
      </c>
      <c r="AM209" s="399"/>
      <c r="AN209" s="399">
        <v>8.1240426039988295E-2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0.14848348348240908</v>
      </c>
      <c r="BH209" s="399">
        <v>0</v>
      </c>
      <c r="BI209" s="399">
        <v>0</v>
      </c>
      <c r="BJ209" s="399">
        <v>0</v>
      </c>
      <c r="BK209" s="399">
        <v>0</v>
      </c>
      <c r="BL209" s="399">
        <v>0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14.691057176824019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55.993700000000004</v>
      </c>
      <c r="CJ209" s="399">
        <v>-12.845860000000016</v>
      </c>
      <c r="CK209" s="399"/>
      <c r="CL209" s="399"/>
      <c r="CM209" s="399"/>
      <c r="CN209" s="399"/>
      <c r="CO209" s="399">
        <v>-15.491190000000008</v>
      </c>
      <c r="CP209" s="399">
        <v>1.8754200000000005</v>
      </c>
      <c r="CQ209" s="399">
        <v>29</v>
      </c>
      <c r="CR209" s="399">
        <v>2.228153719677799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0.53100318794600199</v>
      </c>
      <c r="DA209" s="399">
        <v>0</v>
      </c>
      <c r="DB209" s="399">
        <v>0</v>
      </c>
      <c r="DC209" s="399">
        <v>1.8753844704618334</v>
      </c>
      <c r="DD209" s="399">
        <v>0</v>
      </c>
      <c r="DE209" s="399">
        <v>0</v>
      </c>
      <c r="DF209" s="399">
        <v>0</v>
      </c>
      <c r="DG209" s="399">
        <v>1.9148166267879213E-2</v>
      </c>
      <c r="DH209" s="399">
        <v>0</v>
      </c>
      <c r="DI209" s="399">
        <v>-0.17137666840546029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-2.0709127365918123E-2</v>
      </c>
      <c r="DP209" s="399">
        <v>-5.2963092265411321E-3</v>
      </c>
      <c r="DQ209" s="399">
        <v>0</v>
      </c>
      <c r="DR209" s="399">
        <v>0</v>
      </c>
      <c r="DS209" s="399"/>
      <c r="DT209" s="399"/>
      <c r="DU209" s="399"/>
      <c r="DV209" s="399">
        <v>36.108906225661286</v>
      </c>
      <c r="DW209" s="399">
        <v>0</v>
      </c>
      <c r="DX209" s="399">
        <v>0</v>
      </c>
      <c r="DY209" s="399">
        <v>-15.49119000000001</v>
      </c>
      <c r="DZ209" s="399">
        <v>1.8754200000000019</v>
      </c>
      <c r="EA209" s="399">
        <v>0</v>
      </c>
      <c r="EB209" s="399">
        <v>0</v>
      </c>
      <c r="EC209" s="399">
        <v>-15.843588066084241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216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954</v>
      </c>
      <c r="C210" s="399" t="s">
        <v>2352</v>
      </c>
      <c r="D210" s="399" t="s">
        <v>2363</v>
      </c>
      <c r="E210" s="399" t="s">
        <v>892</v>
      </c>
      <c r="F210" s="399" t="s">
        <v>1237</v>
      </c>
      <c r="G210" s="399" t="s">
        <v>1237</v>
      </c>
      <c r="H210" s="399" t="s">
        <v>1237</v>
      </c>
      <c r="I210" s="399" t="s">
        <v>1237</v>
      </c>
      <c r="J210" s="399" t="s">
        <v>2353</v>
      </c>
      <c r="K210" s="789">
        <v>44593</v>
      </c>
      <c r="L210" s="399">
        <v>0</v>
      </c>
      <c r="M210" s="399">
        <v>0</v>
      </c>
      <c r="N210" s="399">
        <v>527.05999999999995</v>
      </c>
      <c r="O210" s="399">
        <v>527.05999999999995</v>
      </c>
      <c r="P210" s="399">
        <v>527.05999999999995</v>
      </c>
      <c r="Q210" s="399">
        <v>527.05999999999995</v>
      </c>
      <c r="R210" s="399"/>
      <c r="S210" s="399">
        <v>415.98</v>
      </c>
      <c r="T210" s="399">
        <v>215.17</v>
      </c>
      <c r="U210" s="399"/>
      <c r="V210" s="399">
        <v>332653.91899999999</v>
      </c>
      <c r="W210" s="399">
        <v>332653.91899999999</v>
      </c>
      <c r="X210" s="399">
        <v>289113.49239999999</v>
      </c>
      <c r="Y210" s="399">
        <v>0</v>
      </c>
      <c r="Z210" s="399">
        <v>32196.302391522302</v>
      </c>
      <c r="AA210" s="399">
        <v>0</v>
      </c>
      <c r="AB210" s="399">
        <v>0</v>
      </c>
      <c r="AC210" s="399">
        <v>0</v>
      </c>
      <c r="AD210" s="399">
        <v>47074.668227131951</v>
      </c>
      <c r="AE210" s="399">
        <v>133246.29780641349</v>
      </c>
      <c r="AF210" s="399">
        <v>111084.18682337142</v>
      </c>
      <c r="AG210" s="399">
        <v>2322.7399456988774</v>
      </c>
      <c r="AH210" s="399">
        <v>0</v>
      </c>
      <c r="AI210" s="399">
        <v>0</v>
      </c>
      <c r="AJ210" s="399">
        <v>0</v>
      </c>
      <c r="AK210" s="399">
        <v>0</v>
      </c>
      <c r="AL210" s="399">
        <v>4975.1545971261421</v>
      </c>
      <c r="AM210" s="399"/>
      <c r="AN210" s="399">
        <v>620.5591151976264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1134.1986203512829</v>
      </c>
      <c r="BH210" s="399">
        <v>0</v>
      </c>
      <c r="BI210" s="399">
        <v>0</v>
      </c>
      <c r="BJ210" s="399">
        <v>0</v>
      </c>
      <c r="BK210" s="399">
        <v>68988.88</v>
      </c>
      <c r="BL210" s="399">
        <v>1666</v>
      </c>
      <c r="BM210" s="399"/>
      <c r="BN210" s="399"/>
      <c r="BO210" s="399"/>
      <c r="BP210" s="399"/>
      <c r="BQ210" s="399"/>
      <c r="BR210" s="399">
        <v>34691.089199999988</v>
      </c>
      <c r="BS210" s="399"/>
      <c r="BT210" s="399"/>
      <c r="BU210" s="399"/>
      <c r="BV210" s="399">
        <v>112218.3854437227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254422.40319999997</v>
      </c>
      <c r="CJ210" s="399">
        <v>-38312.021400000056</v>
      </c>
      <c r="CK210" s="399"/>
      <c r="CL210" s="399"/>
      <c r="CM210" s="399"/>
      <c r="CN210" s="399"/>
      <c r="CO210" s="399">
        <v>-57865.917400000006</v>
      </c>
      <c r="CP210" s="399">
        <v>14325.490800000001</v>
      </c>
      <c r="CQ210" s="399">
        <v>29</v>
      </c>
      <c r="CR210" s="399">
        <v>14923.120832014916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1959.3504080358762</v>
      </c>
      <c r="DA210" s="399">
        <v>0</v>
      </c>
      <c r="DB210" s="399">
        <v>0</v>
      </c>
      <c r="DC210" s="399">
        <v>14325.219405820477</v>
      </c>
      <c r="DD210" s="399">
        <v>0</v>
      </c>
      <c r="DE210" s="399">
        <v>0</v>
      </c>
      <c r="DF210" s="399">
        <v>0</v>
      </c>
      <c r="DG210" s="399">
        <v>146.26423932099146</v>
      </c>
      <c r="DH210" s="399">
        <v>0</v>
      </c>
      <c r="DI210" s="399">
        <v>-1309.0693746345205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-158.18771984754858</v>
      </c>
      <c r="DP210" s="399">
        <v>-40.45612668030094</v>
      </c>
      <c r="DQ210" s="399">
        <v>0</v>
      </c>
      <c r="DR210" s="399">
        <v>0</v>
      </c>
      <c r="DS210" s="399"/>
      <c r="DT210" s="399"/>
      <c r="DU210" s="399"/>
      <c r="DV210" s="399">
        <v>133246.29780641349</v>
      </c>
      <c r="DW210" s="399">
        <v>0</v>
      </c>
      <c r="DX210" s="399">
        <v>0</v>
      </c>
      <c r="DY210" s="399">
        <v>-57865.917400000006</v>
      </c>
      <c r="DZ210" s="399">
        <v>14325.4908</v>
      </c>
      <c r="EA210" s="399">
        <v>0</v>
      </c>
      <c r="EB210" s="399">
        <v>0</v>
      </c>
      <c r="EC210" s="399">
        <v>-58464.785407299772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216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2354</v>
      </c>
      <c r="C211" s="399" t="s">
        <v>2352</v>
      </c>
      <c r="D211" s="399" t="s">
        <v>2363</v>
      </c>
      <c r="E211" s="399" t="s">
        <v>892</v>
      </c>
      <c r="F211" s="399" t="s">
        <v>1237</v>
      </c>
      <c r="G211" s="399" t="s">
        <v>1237</v>
      </c>
      <c r="H211" s="399" t="s">
        <v>1237</v>
      </c>
      <c r="I211" s="399" t="s">
        <v>1237</v>
      </c>
      <c r="J211" s="399" t="s">
        <v>2353</v>
      </c>
      <c r="K211" s="789">
        <v>44593</v>
      </c>
      <c r="L211" s="399">
        <v>0</v>
      </c>
      <c r="M211" s="399">
        <v>0</v>
      </c>
      <c r="N211" s="399">
        <v>-2.5049999999999999</v>
      </c>
      <c r="O211" s="399">
        <v>-2.5049999999999999</v>
      </c>
      <c r="P211" s="399">
        <v>-2.5049999999999999</v>
      </c>
      <c r="Q211" s="399">
        <v>-2.5049999999999999</v>
      </c>
      <c r="R211" s="399"/>
      <c r="S211" s="399">
        <v>415.98</v>
      </c>
      <c r="T211" s="399">
        <v>215.17</v>
      </c>
      <c r="U211" s="399"/>
      <c r="V211" s="399">
        <v>-1581.0307499999999</v>
      </c>
      <c r="W211" s="399">
        <v>-1581.0307499999999</v>
      </c>
      <c r="X211" s="399">
        <v>-1374.0926999999999</v>
      </c>
      <c r="Y211" s="399">
        <v>0</v>
      </c>
      <c r="Z211" s="399">
        <v>-153.02192822593892</v>
      </c>
      <c r="AA211" s="399">
        <v>0</v>
      </c>
      <c r="AB211" s="399">
        <v>0</v>
      </c>
      <c r="AC211" s="399">
        <v>0</v>
      </c>
      <c r="AD211" s="399">
        <v>-223.73552139977525</v>
      </c>
      <c r="AE211" s="399">
        <v>-633.29028195094634</v>
      </c>
      <c r="AF211" s="399">
        <v>-527.95865364957581</v>
      </c>
      <c r="AG211" s="399">
        <v>-11.039470959616908</v>
      </c>
      <c r="AH211" s="399">
        <v>0</v>
      </c>
      <c r="AI211" s="399">
        <v>0</v>
      </c>
      <c r="AJ211" s="399">
        <v>0</v>
      </c>
      <c r="AK211" s="399">
        <v>0</v>
      </c>
      <c r="AL211" s="399">
        <v>-23.645813125262752</v>
      </c>
      <c r="AM211" s="399"/>
      <c r="AN211" s="399">
        <v>-2.9493806844952268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-5.3905960307744163</v>
      </c>
      <c r="BH211" s="399">
        <v>0</v>
      </c>
      <c r="BI211" s="399">
        <v>0</v>
      </c>
      <c r="BJ211" s="399">
        <v>0</v>
      </c>
      <c r="BK211" s="399">
        <v>-401.07</v>
      </c>
      <c r="BL211" s="399">
        <v>0</v>
      </c>
      <c r="BM211" s="399"/>
      <c r="BN211" s="399"/>
      <c r="BO211" s="399"/>
      <c r="BP211" s="399"/>
      <c r="BQ211" s="399"/>
      <c r="BR211" s="399">
        <v>-164.87909999999999</v>
      </c>
      <c r="BS211" s="399"/>
      <c r="BT211" s="399"/>
      <c r="BU211" s="399"/>
      <c r="BV211" s="399">
        <v>-533.34924968035023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-1211.6271999999999</v>
      </c>
      <c r="CJ211" s="399">
        <v>179.64484999999991</v>
      </c>
      <c r="CK211" s="399"/>
      <c r="CL211" s="399"/>
      <c r="CM211" s="399"/>
      <c r="CN211" s="399"/>
      <c r="CO211" s="399">
        <v>275.02395000000001</v>
      </c>
      <c r="CP211" s="399">
        <v>-68.085900000000009</v>
      </c>
      <c r="CQ211" s="399">
        <v>29</v>
      </c>
      <c r="CR211" s="399">
        <v>-70.92630380639298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-9.3123605891736929</v>
      </c>
      <c r="DA211" s="399">
        <v>0</v>
      </c>
      <c r="DB211" s="399">
        <v>0</v>
      </c>
      <c r="DC211" s="399">
        <v>-68.084610123288257</v>
      </c>
      <c r="DD211" s="399">
        <v>0</v>
      </c>
      <c r="DE211" s="399">
        <v>0</v>
      </c>
      <c r="DF211" s="399">
        <v>0</v>
      </c>
      <c r="DG211" s="399">
        <v>-0.69516168842083115</v>
      </c>
      <c r="DH211" s="399">
        <v>0</v>
      </c>
      <c r="DI211" s="399">
        <v>6.2217181790678069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0.75183136306702636</v>
      </c>
      <c r="DP211" s="399">
        <v>0.19227905235486276</v>
      </c>
      <c r="DQ211" s="399">
        <v>0</v>
      </c>
      <c r="DR211" s="399">
        <v>0</v>
      </c>
      <c r="DS211" s="399"/>
      <c r="DT211" s="399"/>
      <c r="DU211" s="399"/>
      <c r="DV211" s="399">
        <v>-633.29028195094634</v>
      </c>
      <c r="DW211" s="399">
        <v>0</v>
      </c>
      <c r="DX211" s="399">
        <v>0</v>
      </c>
      <c r="DY211" s="399">
        <v>275.02395000000001</v>
      </c>
      <c r="DZ211" s="399">
        <v>-68.085900000000038</v>
      </c>
      <c r="EA211" s="399">
        <v>0</v>
      </c>
      <c r="EB211" s="399">
        <v>0</v>
      </c>
      <c r="EC211" s="399">
        <v>277.8702376300343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216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2355</v>
      </c>
      <c r="C212" s="399" t="s">
        <v>2352</v>
      </c>
      <c r="D212" s="399" t="s">
        <v>2363</v>
      </c>
      <c r="E212" s="399" t="s">
        <v>892</v>
      </c>
      <c r="F212" s="399" t="s">
        <v>1237</v>
      </c>
      <c r="G212" s="399" t="s">
        <v>1237</v>
      </c>
      <c r="H212" s="399" t="s">
        <v>1237</v>
      </c>
      <c r="I212" s="399" t="s">
        <v>1237</v>
      </c>
      <c r="J212" s="399" t="s">
        <v>2353</v>
      </c>
      <c r="K212" s="789">
        <v>44593</v>
      </c>
      <c r="L212" s="399">
        <v>0</v>
      </c>
      <c r="M212" s="399">
        <v>0</v>
      </c>
      <c r="N212" s="399">
        <v>2.11</v>
      </c>
      <c r="O212" s="399">
        <v>2.11</v>
      </c>
      <c r="P212" s="399">
        <v>2.11</v>
      </c>
      <c r="Q212" s="399">
        <v>2.11</v>
      </c>
      <c r="R212" s="399"/>
      <c r="S212" s="399">
        <v>415.98</v>
      </c>
      <c r="T212" s="399">
        <v>215.17</v>
      </c>
      <c r="U212" s="399"/>
      <c r="V212" s="399">
        <v>1331.7265</v>
      </c>
      <c r="W212" s="399">
        <v>1331.7265</v>
      </c>
      <c r="X212" s="399">
        <v>1157.4193999999998</v>
      </c>
      <c r="Y212" s="399">
        <v>0</v>
      </c>
      <c r="Z212" s="399">
        <v>128.89272197873498</v>
      </c>
      <c r="AA212" s="399">
        <v>0</v>
      </c>
      <c r="AB212" s="399">
        <v>0</v>
      </c>
      <c r="AC212" s="399">
        <v>0</v>
      </c>
      <c r="AD212" s="399">
        <v>188.45586832476079</v>
      </c>
      <c r="AE212" s="399">
        <v>533.43013769121626</v>
      </c>
      <c r="AF212" s="399">
        <v>444.70768830363471</v>
      </c>
      <c r="AG212" s="399">
        <v>9.2987160578010695</v>
      </c>
      <c r="AH212" s="399">
        <v>0</v>
      </c>
      <c r="AI212" s="399">
        <v>0</v>
      </c>
      <c r="AJ212" s="399">
        <v>0</v>
      </c>
      <c r="AK212" s="399">
        <v>0</v>
      </c>
      <c r="AL212" s="399">
        <v>19.917231814093576</v>
      </c>
      <c r="AM212" s="399"/>
      <c r="AN212" s="399">
        <v>2.4843086803532648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4.5405818862012044</v>
      </c>
      <c r="BH212" s="399">
        <v>0</v>
      </c>
      <c r="BI212" s="399">
        <v>0</v>
      </c>
      <c r="BJ212" s="399">
        <v>0</v>
      </c>
      <c r="BK212" s="399">
        <v>1352.15</v>
      </c>
      <c r="BL212" s="399">
        <v>19</v>
      </c>
      <c r="BM212" s="399"/>
      <c r="BN212" s="399"/>
      <c r="BO212" s="399"/>
      <c r="BP212" s="399"/>
      <c r="BQ212" s="399"/>
      <c r="BR212" s="399">
        <v>138.88019999999997</v>
      </c>
      <c r="BS212" s="399"/>
      <c r="BT212" s="399"/>
      <c r="BU212" s="399"/>
      <c r="BV212" s="399">
        <v>449.24827018983592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1018.5391999999999</v>
      </c>
      <c r="CJ212" s="399">
        <v>-153.40589999999997</v>
      </c>
      <c r="CK212" s="399"/>
      <c r="CL212" s="399"/>
      <c r="CM212" s="399"/>
      <c r="CN212" s="399"/>
      <c r="CO212" s="399">
        <v>-231.65690000000004</v>
      </c>
      <c r="CP212" s="399">
        <v>57.349800000000009</v>
      </c>
      <c r="CQ212" s="399">
        <v>29</v>
      </c>
      <c r="CR212" s="399">
        <v>59.742315781033767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7.8439444483658463</v>
      </c>
      <c r="DA212" s="399">
        <v>0</v>
      </c>
      <c r="DB212" s="399">
        <v>0</v>
      </c>
      <c r="DC212" s="399">
        <v>57.348713517021224</v>
      </c>
      <c r="DD212" s="399">
        <v>0</v>
      </c>
      <c r="DE212" s="399">
        <v>0</v>
      </c>
      <c r="DF212" s="399">
        <v>0</v>
      </c>
      <c r="DG212" s="399">
        <v>0.58554537427862474</v>
      </c>
      <c r="DH212" s="399">
        <v>0</v>
      </c>
      <c r="DI212" s="399">
        <v>-5.2406488454423368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-0.63327911220416411</v>
      </c>
      <c r="DP212" s="399">
        <v>-0.16195960098553286</v>
      </c>
      <c r="DQ212" s="399">
        <v>0</v>
      </c>
      <c r="DR212" s="399">
        <v>0</v>
      </c>
      <c r="DS212" s="399"/>
      <c r="DT212" s="399"/>
      <c r="DU212" s="399"/>
      <c r="DV212" s="399">
        <v>533.43013769121626</v>
      </c>
      <c r="DW212" s="399">
        <v>0</v>
      </c>
      <c r="DX212" s="399">
        <v>0</v>
      </c>
      <c r="DY212" s="399">
        <v>-231.65690000000006</v>
      </c>
      <c r="DZ212" s="399">
        <v>57.349800000000016</v>
      </c>
      <c r="EA212" s="399">
        <v>0</v>
      </c>
      <c r="EB212" s="399">
        <v>0</v>
      </c>
      <c r="EC212" s="399">
        <v>-234.05437181611671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216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954</v>
      </c>
      <c r="C213" s="399" t="s">
        <v>2352</v>
      </c>
      <c r="D213" s="399" t="s">
        <v>1824</v>
      </c>
      <c r="E213" s="399" t="s">
        <v>2364</v>
      </c>
      <c r="F213" s="399" t="s">
        <v>1237</v>
      </c>
      <c r="G213" s="399" t="s">
        <v>1237</v>
      </c>
      <c r="H213" s="399" t="s">
        <v>1237</v>
      </c>
      <c r="I213" s="399" t="s">
        <v>1237</v>
      </c>
      <c r="J213" s="399" t="s">
        <v>2353</v>
      </c>
      <c r="K213" s="789">
        <v>44593</v>
      </c>
      <c r="L213" s="399">
        <v>0</v>
      </c>
      <c r="M213" s="399">
        <v>0</v>
      </c>
      <c r="N213" s="399">
        <v>35.281999999999996</v>
      </c>
      <c r="O213" s="399">
        <v>35.281999999999996</v>
      </c>
      <c r="P213" s="399">
        <v>35.281999999999996</v>
      </c>
      <c r="Q213" s="399">
        <v>35.281999999999996</v>
      </c>
      <c r="R213" s="399"/>
      <c r="S213" s="399">
        <v>415.98</v>
      </c>
      <c r="T213" s="399">
        <v>215.17</v>
      </c>
      <c r="U213" s="399"/>
      <c r="V213" s="399">
        <v>22268.234299999996</v>
      </c>
      <c r="W213" s="399">
        <v>22268.234299999996</v>
      </c>
      <c r="X213" s="399">
        <v>19353.588279999996</v>
      </c>
      <c r="Y213" s="399">
        <v>0</v>
      </c>
      <c r="Z213" s="399">
        <v>2155.2573539591126</v>
      </c>
      <c r="AA213" s="399">
        <v>0</v>
      </c>
      <c r="AB213" s="399">
        <v>0</v>
      </c>
      <c r="AC213" s="399">
        <v>0</v>
      </c>
      <c r="AD213" s="399">
        <v>3151.2322020067345</v>
      </c>
      <c r="AE213" s="399">
        <v>8919.6597715741664</v>
      </c>
      <c r="AF213" s="399">
        <v>7436.1026818620094</v>
      </c>
      <c r="AG213" s="399">
        <v>155.4868720148518</v>
      </c>
      <c r="AH213" s="399">
        <v>0</v>
      </c>
      <c r="AI213" s="399">
        <v>0</v>
      </c>
      <c r="AJ213" s="399">
        <v>0</v>
      </c>
      <c r="AK213" s="399">
        <v>0</v>
      </c>
      <c r="AL213" s="399">
        <v>333.04254638144522</v>
      </c>
      <c r="AM213" s="399"/>
      <c r="AN213" s="399">
        <v>41.540937848447342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75.924554554005169</v>
      </c>
      <c r="BH213" s="399">
        <v>0</v>
      </c>
      <c r="BI213" s="399">
        <v>0</v>
      </c>
      <c r="BJ213" s="399">
        <v>0</v>
      </c>
      <c r="BK213" s="399">
        <v>6902.99</v>
      </c>
      <c r="BL213" s="399">
        <v>48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7512.0272364160146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19352.4912</v>
      </c>
      <c r="CJ213" s="399">
        <v>-2915.7730999999985</v>
      </c>
      <c r="CK213" s="399"/>
      <c r="CL213" s="399"/>
      <c r="CM213" s="399"/>
      <c r="CN213" s="399"/>
      <c r="CO213" s="399">
        <v>-3873.6107800000004</v>
      </c>
      <c r="CP213" s="399">
        <v>958.96476000000018</v>
      </c>
      <c r="CQ213" s="399">
        <v>29</v>
      </c>
      <c r="CR213" s="399">
        <v>998.97079876134012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131.16116020248546</v>
      </c>
      <c r="DA213" s="399">
        <v>0</v>
      </c>
      <c r="DB213" s="399">
        <v>0</v>
      </c>
      <c r="DC213" s="399">
        <v>958.94659256281648</v>
      </c>
      <c r="DD213" s="399">
        <v>0</v>
      </c>
      <c r="DE213" s="399">
        <v>0</v>
      </c>
      <c r="DF213" s="399">
        <v>0</v>
      </c>
      <c r="DG213" s="399">
        <v>9.7910956849755593</v>
      </c>
      <c r="DH213" s="399">
        <v>0</v>
      </c>
      <c r="DI213" s="399">
        <v>-87.630603111325399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-10.589267126439438</v>
      </c>
      <c r="DP213" s="399">
        <v>-2.7081794511713611</v>
      </c>
      <c r="DQ213" s="399">
        <v>0</v>
      </c>
      <c r="DR213" s="399">
        <v>0</v>
      </c>
      <c r="DS213" s="399"/>
      <c r="DT213" s="399"/>
      <c r="DU213" s="399"/>
      <c r="DV213" s="399">
        <v>8919.6597715741664</v>
      </c>
      <c r="DW213" s="399">
        <v>0</v>
      </c>
      <c r="DX213" s="399">
        <v>0</v>
      </c>
      <c r="DY213" s="399">
        <v>-3873.6107800000009</v>
      </c>
      <c r="DZ213" s="399">
        <v>958.96476000000075</v>
      </c>
      <c r="EA213" s="399">
        <v>0</v>
      </c>
      <c r="EB213" s="399">
        <v>0</v>
      </c>
      <c r="EC213" s="399">
        <v>-3913.6996902446581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216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954</v>
      </c>
      <c r="C214" s="399" t="s">
        <v>2352</v>
      </c>
      <c r="D214" s="399" t="s">
        <v>2365</v>
      </c>
      <c r="E214" s="399" t="s">
        <v>2366</v>
      </c>
      <c r="F214" s="399" t="s">
        <v>2367</v>
      </c>
      <c r="G214" s="399" t="s">
        <v>1237</v>
      </c>
      <c r="H214" s="399" t="s">
        <v>1237</v>
      </c>
      <c r="I214" s="399" t="s">
        <v>1237</v>
      </c>
      <c r="J214" s="399" t="s">
        <v>2353</v>
      </c>
      <c r="K214" s="789">
        <v>44593</v>
      </c>
      <c r="L214" s="399">
        <v>0</v>
      </c>
      <c r="M214" s="399">
        <v>0</v>
      </c>
      <c r="N214" s="399">
        <v>92.475999999999999</v>
      </c>
      <c r="O214" s="399">
        <v>92.475999999999999</v>
      </c>
      <c r="P214" s="399">
        <v>92.475999999999999</v>
      </c>
      <c r="Q214" s="399">
        <v>92.475999999999999</v>
      </c>
      <c r="R214" s="399"/>
      <c r="S214" s="399">
        <v>228.79</v>
      </c>
      <c r="T214" s="399">
        <v>118.34</v>
      </c>
      <c r="U214" s="399"/>
      <c r="V214" s="399">
        <v>32101.193879999999</v>
      </c>
      <c r="W214" s="399">
        <v>32101.193879999999</v>
      </c>
      <c r="X214" s="399">
        <v>27899.084439999999</v>
      </c>
      <c r="Y214" s="399">
        <v>0</v>
      </c>
      <c r="Z214" s="399">
        <v>3106.9743349469254</v>
      </c>
      <c r="AA214" s="399">
        <v>0</v>
      </c>
      <c r="AB214" s="399">
        <v>0</v>
      </c>
      <c r="AC214" s="399">
        <v>0</v>
      </c>
      <c r="AD214" s="399">
        <v>4542.7510348627156</v>
      </c>
      <c r="AE214" s="399">
        <v>12858.396671669741</v>
      </c>
      <c r="AF214" s="399">
        <v>10719.731517043459</v>
      </c>
      <c r="AG214" s="399">
        <v>224.14665231690395</v>
      </c>
      <c r="AH214" s="399">
        <v>0</v>
      </c>
      <c r="AI214" s="399">
        <v>0</v>
      </c>
      <c r="AJ214" s="399">
        <v>0</v>
      </c>
      <c r="AK214" s="399">
        <v>0</v>
      </c>
      <c r="AL214" s="399">
        <v>480.10723274031534</v>
      </c>
      <c r="AM214" s="399"/>
      <c r="AN214" s="399">
        <v>59.884555089285399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109.45126435051529</v>
      </c>
      <c r="BH214" s="399">
        <v>0</v>
      </c>
      <c r="BI214" s="399">
        <v>0</v>
      </c>
      <c r="BJ214" s="399">
        <v>0</v>
      </c>
      <c r="BK214" s="399">
        <v>13676.12</v>
      </c>
      <c r="BL214" s="399">
        <v>88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10829.182781393974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27900.2912</v>
      </c>
      <c r="CJ214" s="399">
        <v>-4200.9326799999944</v>
      </c>
      <c r="CK214" s="399"/>
      <c r="CL214" s="399"/>
      <c r="CM214" s="399"/>
      <c r="CN214" s="399"/>
      <c r="CO214" s="399">
        <v>-5584.6256399999984</v>
      </c>
      <c r="CP214" s="399">
        <v>1382.5161999999989</v>
      </c>
      <c r="CQ214" s="399">
        <v>29</v>
      </c>
      <c r="CR214" s="399">
        <v>1440.0956003753163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189.07921030515809</v>
      </c>
      <c r="DA214" s="399">
        <v>0</v>
      </c>
      <c r="DB214" s="399">
        <v>0</v>
      </c>
      <c r="DC214" s="399">
        <v>1382.3975341991281</v>
      </c>
      <c r="DD214" s="399">
        <v>0</v>
      </c>
      <c r="DE214" s="399">
        <v>0</v>
      </c>
      <c r="DF214" s="399">
        <v>0</v>
      </c>
      <c r="DG214" s="399">
        <v>14.114640624401105</v>
      </c>
      <c r="DH214" s="399">
        <v>0</v>
      </c>
      <c r="DI214" s="399">
        <v>-126.32646134934066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-15.26526803275209</v>
      </c>
      <c r="DP214" s="399">
        <v>-3.904055371282638</v>
      </c>
      <c r="DQ214" s="399">
        <v>0</v>
      </c>
      <c r="DR214" s="399">
        <v>0</v>
      </c>
      <c r="DS214" s="399"/>
      <c r="DT214" s="399"/>
      <c r="DU214" s="399"/>
      <c r="DV214" s="399">
        <v>12858.396671669741</v>
      </c>
      <c r="DW214" s="399">
        <v>0</v>
      </c>
      <c r="DX214" s="399">
        <v>0</v>
      </c>
      <c r="DY214" s="399">
        <v>-5584.6256399999984</v>
      </c>
      <c r="DZ214" s="399">
        <v>1382.5161999999982</v>
      </c>
      <c r="EA214" s="399">
        <v>0</v>
      </c>
      <c r="EB214" s="399">
        <v>0</v>
      </c>
      <c r="EC214" s="399">
        <v>-5641.9083641881552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216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954</v>
      </c>
      <c r="C215" s="399" t="s">
        <v>2352</v>
      </c>
      <c r="D215" s="399" t="s">
        <v>1824</v>
      </c>
      <c r="E215" s="399" t="s">
        <v>919</v>
      </c>
      <c r="F215" s="399" t="s">
        <v>2368</v>
      </c>
      <c r="G215" s="399" t="s">
        <v>1237</v>
      </c>
      <c r="H215" s="399" t="s">
        <v>1237</v>
      </c>
      <c r="I215" s="399" t="s">
        <v>1237</v>
      </c>
      <c r="J215" s="399" t="s">
        <v>2353</v>
      </c>
      <c r="K215" s="789">
        <v>44593</v>
      </c>
      <c r="L215" s="399">
        <v>0</v>
      </c>
      <c r="M215" s="399">
        <v>0</v>
      </c>
      <c r="N215" s="399">
        <v>20.225000000000001</v>
      </c>
      <c r="O215" s="399">
        <v>19.011500000000002</v>
      </c>
      <c r="P215" s="399">
        <v>20.225000000000001</v>
      </c>
      <c r="Q215" s="399">
        <v>19.011500000000002</v>
      </c>
      <c r="R215" s="399"/>
      <c r="S215" s="399">
        <v>415.98</v>
      </c>
      <c r="T215" s="399">
        <v>215.17</v>
      </c>
      <c r="U215" s="399"/>
      <c r="V215" s="399">
        <v>12765.008750000001</v>
      </c>
      <c r="W215" s="399">
        <v>12765.008750000001</v>
      </c>
      <c r="X215" s="399">
        <v>11094.2215</v>
      </c>
      <c r="Y215" s="399">
        <v>0</v>
      </c>
      <c r="Z215" s="399">
        <v>1235.4764464549362</v>
      </c>
      <c r="AA215" s="399">
        <v>0</v>
      </c>
      <c r="AB215" s="399">
        <v>0</v>
      </c>
      <c r="AC215" s="399">
        <v>0</v>
      </c>
      <c r="AD215" s="399">
        <v>1806.4075530181456</v>
      </c>
      <c r="AE215" s="399">
        <v>5113.092196589977</v>
      </c>
      <c r="AF215" s="399">
        <v>4262.6601876497689</v>
      </c>
      <c r="AG215" s="399">
        <v>89.131057947405992</v>
      </c>
      <c r="AH215" s="399">
        <v>0</v>
      </c>
      <c r="AI215" s="399">
        <v>0</v>
      </c>
      <c r="AJ215" s="399">
        <v>0</v>
      </c>
      <c r="AK215" s="399">
        <v>0</v>
      </c>
      <c r="AL215" s="399">
        <v>190.91280257821924</v>
      </c>
      <c r="AM215" s="399"/>
      <c r="AN215" s="399">
        <v>23.812864009547294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43.52287613669165</v>
      </c>
      <c r="BH215" s="399">
        <v>0</v>
      </c>
      <c r="BI215" s="399">
        <v>0</v>
      </c>
      <c r="BJ215" s="399">
        <v>0</v>
      </c>
      <c r="BK215" s="399">
        <v>4655.3500000000004</v>
      </c>
      <c r="BL215" s="399">
        <v>4</v>
      </c>
      <c r="BM215" s="399"/>
      <c r="BN215" s="399"/>
      <c r="BO215" s="399"/>
      <c r="BP215" s="399"/>
      <c r="BQ215" s="399">
        <v>665.65328999999986</v>
      </c>
      <c r="BR215" s="399"/>
      <c r="BS215" s="399"/>
      <c r="BT215" s="399"/>
      <c r="BU215" s="399"/>
      <c r="BV215" s="399">
        <v>4306.1830637864605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10427.7454</v>
      </c>
      <c r="CJ215" s="399">
        <v>-1571.3928250000008</v>
      </c>
      <c r="CK215" s="399"/>
      <c r="CL215" s="399"/>
      <c r="CM215" s="399"/>
      <c r="CN215" s="399"/>
      <c r="CO215" s="399">
        <v>-2220.5027500000006</v>
      </c>
      <c r="CP215" s="399">
        <v>549.71550000000013</v>
      </c>
      <c r="CQ215" s="399">
        <v>29</v>
      </c>
      <c r="CR215" s="399">
        <v>572.64850079213647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75.186623918578107</v>
      </c>
      <c r="DA215" s="399">
        <v>0</v>
      </c>
      <c r="DB215" s="399">
        <v>0</v>
      </c>
      <c r="DC215" s="399">
        <v>549.70508572595099</v>
      </c>
      <c r="DD215" s="399">
        <v>0</v>
      </c>
      <c r="DE215" s="399">
        <v>0</v>
      </c>
      <c r="DF215" s="399">
        <v>0</v>
      </c>
      <c r="DG215" s="399">
        <v>5.6126327937370561</v>
      </c>
      <c r="DH215" s="399">
        <v>0</v>
      </c>
      <c r="DI215" s="399">
        <v>-50.233233601455595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-6.070175376459332</v>
      </c>
      <c r="DP215" s="399">
        <v>-1.5524326682144114</v>
      </c>
      <c r="DQ215" s="399">
        <v>0</v>
      </c>
      <c r="DR215" s="399">
        <v>0</v>
      </c>
      <c r="DS215" s="399"/>
      <c r="DT215" s="399"/>
      <c r="DU215" s="399"/>
      <c r="DV215" s="399">
        <v>5113.092196589977</v>
      </c>
      <c r="DW215" s="399">
        <v>0</v>
      </c>
      <c r="DX215" s="399">
        <v>0</v>
      </c>
      <c r="DY215" s="399">
        <v>-2220.5027500000015</v>
      </c>
      <c r="DZ215" s="399">
        <v>549.71550000000025</v>
      </c>
      <c r="EA215" s="399">
        <v>0</v>
      </c>
      <c r="EB215" s="399">
        <v>0</v>
      </c>
      <c r="EC215" s="399">
        <v>-2243.4832559151478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216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954</v>
      </c>
      <c r="C216" s="399" t="s">
        <v>2352</v>
      </c>
      <c r="D216" s="399" t="s">
        <v>1824</v>
      </c>
      <c r="E216" s="399" t="s">
        <v>2369</v>
      </c>
      <c r="F216" s="399" t="s">
        <v>1237</v>
      </c>
      <c r="G216" s="399" t="s">
        <v>1237</v>
      </c>
      <c r="H216" s="399" t="s">
        <v>1237</v>
      </c>
      <c r="I216" s="399" t="s">
        <v>1237</v>
      </c>
      <c r="J216" s="399" t="s">
        <v>2353</v>
      </c>
      <c r="K216" s="789">
        <v>44593</v>
      </c>
      <c r="L216" s="399">
        <v>0</v>
      </c>
      <c r="M216" s="399">
        <v>0</v>
      </c>
      <c r="N216" s="399">
        <v>3.88</v>
      </c>
      <c r="O216" s="399">
        <v>3.88</v>
      </c>
      <c r="P216" s="399">
        <v>3.88</v>
      </c>
      <c r="Q216" s="399">
        <v>3.88</v>
      </c>
      <c r="R216" s="399"/>
      <c r="S216" s="399">
        <v>415.98</v>
      </c>
      <c r="T216" s="399">
        <v>215.17</v>
      </c>
      <c r="U216" s="399"/>
      <c r="V216" s="399">
        <v>2448.8620000000001</v>
      </c>
      <c r="W216" s="399">
        <v>2448.8620000000001</v>
      </c>
      <c r="X216" s="399">
        <v>2128.3352</v>
      </c>
      <c r="Y216" s="399">
        <v>0</v>
      </c>
      <c r="Z216" s="399">
        <v>237.01600060544635</v>
      </c>
      <c r="AA216" s="399">
        <v>0</v>
      </c>
      <c r="AB216" s="399">
        <v>0</v>
      </c>
      <c r="AC216" s="399">
        <v>0</v>
      </c>
      <c r="AD216" s="399">
        <v>346.5444403317876</v>
      </c>
      <c r="AE216" s="399">
        <v>980.90470817152573</v>
      </c>
      <c r="AF216" s="399">
        <v>817.75631782848473</v>
      </c>
      <c r="AG216" s="399">
        <v>17.099060807710021</v>
      </c>
      <c r="AH216" s="399">
        <v>0</v>
      </c>
      <c r="AI216" s="399">
        <v>0</v>
      </c>
      <c r="AJ216" s="399">
        <v>0</v>
      </c>
      <c r="AK216" s="399">
        <v>0</v>
      </c>
      <c r="AL216" s="399">
        <v>36.62505186667444</v>
      </c>
      <c r="AM216" s="399"/>
      <c r="AN216" s="399">
        <v>4.5683022179007908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8.3495060277064805</v>
      </c>
      <c r="BH216" s="399">
        <v>0</v>
      </c>
      <c r="BI216" s="399">
        <v>0</v>
      </c>
      <c r="BJ216" s="399">
        <v>0</v>
      </c>
      <c r="BK216" s="399">
        <v>893.09</v>
      </c>
      <c r="BL216" s="399">
        <v>1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826.10582385619125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2128.3352</v>
      </c>
      <c r="CJ216" s="399">
        <v>-320.55680000000029</v>
      </c>
      <c r="CK216" s="399"/>
      <c r="CL216" s="399"/>
      <c r="CM216" s="399"/>
      <c r="CN216" s="399"/>
      <c r="CO216" s="399">
        <v>-425.98520000000008</v>
      </c>
      <c r="CP216" s="399">
        <v>105.45840000000003</v>
      </c>
      <c r="CQ216" s="399">
        <v>29</v>
      </c>
      <c r="CR216" s="399">
        <v>109.85790769213759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14.423935762871849</v>
      </c>
      <c r="DA216" s="399">
        <v>0</v>
      </c>
      <c r="DB216" s="399">
        <v>0</v>
      </c>
      <c r="DC216" s="399">
        <v>105.45640210712907</v>
      </c>
      <c r="DD216" s="399">
        <v>0</v>
      </c>
      <c r="DE216" s="399">
        <v>0</v>
      </c>
      <c r="DF216" s="399">
        <v>0</v>
      </c>
      <c r="DG216" s="399">
        <v>1.0767374654981356</v>
      </c>
      <c r="DH216" s="399">
        <v>0</v>
      </c>
      <c r="DI216" s="399">
        <v>-9.6368329480172292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-1.1645132489820611</v>
      </c>
      <c r="DP216" s="399">
        <v>-0.29782144636202279</v>
      </c>
      <c r="DQ216" s="399">
        <v>0</v>
      </c>
      <c r="DR216" s="399">
        <v>0</v>
      </c>
      <c r="DS216" s="399"/>
      <c r="DT216" s="399"/>
      <c r="DU216" s="399"/>
      <c r="DV216" s="399">
        <v>980.90470817152573</v>
      </c>
      <c r="DW216" s="399">
        <v>0</v>
      </c>
      <c r="DX216" s="399">
        <v>0</v>
      </c>
      <c r="DY216" s="399">
        <v>-425.98520000000008</v>
      </c>
      <c r="DZ216" s="399">
        <v>105.4584000000001</v>
      </c>
      <c r="EA216" s="399">
        <v>0</v>
      </c>
      <c r="EB216" s="399">
        <v>0</v>
      </c>
      <c r="EC216" s="399">
        <v>-430.39382115949434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216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954</v>
      </c>
      <c r="C217" s="399" t="s">
        <v>2352</v>
      </c>
      <c r="D217" s="399" t="s">
        <v>2363</v>
      </c>
      <c r="E217" s="399" t="s">
        <v>892</v>
      </c>
      <c r="F217" s="399" t="s">
        <v>2370</v>
      </c>
      <c r="G217" s="399" t="s">
        <v>2371</v>
      </c>
      <c r="H217" s="399" t="s">
        <v>1237</v>
      </c>
      <c r="I217" s="399" t="s">
        <v>1237</v>
      </c>
      <c r="J217" s="399" t="s">
        <v>2353</v>
      </c>
      <c r="K217" s="789">
        <v>44593</v>
      </c>
      <c r="L217" s="399">
        <v>0</v>
      </c>
      <c r="M217" s="399">
        <v>0</v>
      </c>
      <c r="N217" s="399">
        <v>0</v>
      </c>
      <c r="O217" s="399">
        <v>0</v>
      </c>
      <c r="P217" s="399">
        <v>0</v>
      </c>
      <c r="Q217" s="399">
        <v>0</v>
      </c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>
        <v>0</v>
      </c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>
        <v>0</v>
      </c>
      <c r="BA217" s="399"/>
      <c r="BB217" s="399"/>
      <c r="BC217" s="399"/>
      <c r="BD217" s="399"/>
      <c r="BE217" s="399"/>
      <c r="BF217" s="399"/>
      <c r="BG217" s="399"/>
      <c r="BH217" s="399"/>
      <c r="BI217" s="399">
        <v>0</v>
      </c>
      <c r="BJ217" s="399">
        <v>0</v>
      </c>
      <c r="BK217" s="399">
        <v>1965.51</v>
      </c>
      <c r="BL217" s="399">
        <v>40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/>
      <c r="CJ217" s="399">
        <v>-0.03</v>
      </c>
      <c r="CK217" s="399"/>
      <c r="CL217" s="399"/>
      <c r="CM217" s="399"/>
      <c r="CN217" s="399"/>
      <c r="CO217" s="399">
        <v>0</v>
      </c>
      <c r="CP217" s="399">
        <v>0</v>
      </c>
      <c r="CQ217" s="399">
        <v>29</v>
      </c>
      <c r="CR217" s="399"/>
      <c r="CS217" s="399"/>
      <c r="CT217" s="399"/>
      <c r="CU217" s="399"/>
      <c r="CV217" s="399"/>
      <c r="CW217" s="399"/>
      <c r="CX217" s="399"/>
      <c r="CY217" s="399"/>
      <c r="CZ217" s="399"/>
      <c r="DA217" s="399"/>
      <c r="DB217" s="399"/>
      <c r="DC217" s="399"/>
      <c r="DD217" s="399"/>
      <c r="DE217" s="399"/>
      <c r="DF217" s="399"/>
      <c r="DG217" s="399"/>
      <c r="DH217" s="399"/>
      <c r="DI217" s="399"/>
      <c r="DJ217" s="399"/>
      <c r="DK217" s="399">
        <v>0</v>
      </c>
      <c r="DL217" s="399"/>
      <c r="DM217" s="399"/>
      <c r="DN217" s="399"/>
      <c r="DO217" s="399"/>
      <c r="DP217" s="399"/>
      <c r="DQ217" s="399"/>
      <c r="DR217" s="399"/>
      <c r="DS217" s="399"/>
      <c r="DT217" s="399"/>
      <c r="DU217" s="399"/>
      <c r="DV217" s="399"/>
      <c r="DW217" s="399"/>
      <c r="DX217" s="399"/>
      <c r="DY217" s="399"/>
      <c r="DZ217" s="399"/>
      <c r="EA217" s="399"/>
      <c r="EB217" s="399"/>
      <c r="EC217" s="399"/>
      <c r="ED217" s="399"/>
      <c r="EE217" s="399"/>
      <c r="EF217" s="399"/>
      <c r="EG217" s="399"/>
      <c r="EH217" s="399"/>
      <c r="EI217" s="399"/>
      <c r="EJ217" s="399"/>
      <c r="EK217" s="399"/>
      <c r="EL217" s="399"/>
      <c r="EM217" s="399"/>
      <c r="EN217" s="399"/>
      <c r="EO217" s="399"/>
      <c r="EP217" s="399"/>
      <c r="EQ217" s="399"/>
      <c r="ER217" s="399"/>
      <c r="ES217" s="399"/>
      <c r="ET217" s="399"/>
      <c r="EU217" s="399"/>
      <c r="EV217" s="399">
        <v>216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2355</v>
      </c>
      <c r="C218" s="399" t="s">
        <v>2352</v>
      </c>
      <c r="D218" s="399" t="s">
        <v>2363</v>
      </c>
      <c r="E218" s="399" t="s">
        <v>892</v>
      </c>
      <c r="F218" s="399" t="s">
        <v>2370</v>
      </c>
      <c r="G218" s="399" t="s">
        <v>2371</v>
      </c>
      <c r="H218" s="399" t="s">
        <v>1237</v>
      </c>
      <c r="I218" s="399" t="s">
        <v>1237</v>
      </c>
      <c r="J218" s="399" t="s">
        <v>2353</v>
      </c>
      <c r="K218" s="789">
        <v>44593</v>
      </c>
      <c r="L218" s="399">
        <v>0</v>
      </c>
      <c r="M218" s="399">
        <v>0</v>
      </c>
      <c r="N218" s="399">
        <v>0</v>
      </c>
      <c r="O218" s="399">
        <v>0</v>
      </c>
      <c r="P218" s="399">
        <v>0</v>
      </c>
      <c r="Q218" s="399">
        <v>0</v>
      </c>
      <c r="R218" s="399"/>
      <c r="S218" s="399"/>
      <c r="T218" s="399"/>
      <c r="U218" s="399"/>
      <c r="V218" s="399"/>
      <c r="W218" s="399"/>
      <c r="X218" s="399"/>
      <c r="Y218" s="399"/>
      <c r="Z218" s="399"/>
      <c r="AA218" s="399">
        <v>0</v>
      </c>
      <c r="AB218" s="399"/>
      <c r="AC218" s="399"/>
      <c r="AD218" s="399"/>
      <c r="AE218" s="399"/>
      <c r="AF218" s="399"/>
      <c r="AG218" s="399"/>
      <c r="AH218" s="399"/>
      <c r="AI218" s="399"/>
      <c r="AJ218" s="399"/>
      <c r="AK218" s="399"/>
      <c r="AL218" s="399"/>
      <c r="AM218" s="399"/>
      <c r="AN218" s="399"/>
      <c r="AO218" s="399"/>
      <c r="AP218" s="399"/>
      <c r="AQ218" s="399"/>
      <c r="AR218" s="399"/>
      <c r="AS218" s="399"/>
      <c r="AT218" s="399"/>
      <c r="AU218" s="399"/>
      <c r="AV218" s="399"/>
      <c r="AW218" s="399"/>
      <c r="AX218" s="399"/>
      <c r="AY218" s="399"/>
      <c r="AZ218" s="399">
        <v>0</v>
      </c>
      <c r="BA218" s="399"/>
      <c r="BB218" s="399"/>
      <c r="BC218" s="399"/>
      <c r="BD218" s="399"/>
      <c r="BE218" s="399"/>
      <c r="BF218" s="399"/>
      <c r="BG218" s="399"/>
      <c r="BH218" s="399"/>
      <c r="BI218" s="399">
        <v>0</v>
      </c>
      <c r="BJ218" s="399">
        <v>0</v>
      </c>
      <c r="BK218" s="399">
        <v>22.69</v>
      </c>
      <c r="BL218" s="399">
        <v>1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/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/>
      <c r="CJ218" s="399">
        <v>-0.03</v>
      </c>
      <c r="CK218" s="399"/>
      <c r="CL218" s="399"/>
      <c r="CM218" s="399"/>
      <c r="CN218" s="399"/>
      <c r="CO218" s="399">
        <v>0</v>
      </c>
      <c r="CP218" s="399">
        <v>0</v>
      </c>
      <c r="CQ218" s="399">
        <v>29</v>
      </c>
      <c r="CR218" s="399"/>
      <c r="CS218" s="399"/>
      <c r="CT218" s="399"/>
      <c r="CU218" s="399"/>
      <c r="CV218" s="399"/>
      <c r="CW218" s="399"/>
      <c r="CX218" s="399"/>
      <c r="CY218" s="399"/>
      <c r="CZ218" s="399"/>
      <c r="DA218" s="399"/>
      <c r="DB218" s="399"/>
      <c r="DC218" s="399"/>
      <c r="DD218" s="399"/>
      <c r="DE218" s="399"/>
      <c r="DF218" s="399"/>
      <c r="DG218" s="399"/>
      <c r="DH218" s="399"/>
      <c r="DI218" s="399"/>
      <c r="DJ218" s="399"/>
      <c r="DK218" s="399">
        <v>0</v>
      </c>
      <c r="DL218" s="399"/>
      <c r="DM218" s="399"/>
      <c r="DN218" s="399"/>
      <c r="DO218" s="399"/>
      <c r="DP218" s="399"/>
      <c r="DQ218" s="399"/>
      <c r="DR218" s="399"/>
      <c r="DS218" s="399"/>
      <c r="DT218" s="399"/>
      <c r="DU218" s="399"/>
      <c r="DV218" s="399"/>
      <c r="DW218" s="399"/>
      <c r="DX218" s="399"/>
      <c r="DY218" s="399"/>
      <c r="DZ218" s="399"/>
      <c r="EA218" s="399"/>
      <c r="EB218" s="399"/>
      <c r="EC218" s="399"/>
      <c r="ED218" s="399"/>
      <c r="EE218" s="399"/>
      <c r="EF218" s="399"/>
      <c r="EG218" s="399"/>
      <c r="EH218" s="399"/>
      <c r="EI218" s="399"/>
      <c r="EJ218" s="399"/>
      <c r="EK218" s="399"/>
      <c r="EL218" s="399"/>
      <c r="EM218" s="399"/>
      <c r="EN218" s="399"/>
      <c r="EO218" s="399"/>
      <c r="EP218" s="399"/>
      <c r="EQ218" s="399"/>
      <c r="ER218" s="399"/>
      <c r="ES218" s="399"/>
      <c r="ET218" s="399"/>
      <c r="EU218" s="399"/>
      <c r="EV218" s="399">
        <v>216</v>
      </c>
      <c r="EW218" s="399"/>
      <c r="EX218" s="399"/>
      <c r="EY218" s="399"/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954</v>
      </c>
      <c r="C219" s="399" t="s">
        <v>2352</v>
      </c>
      <c r="D219" s="399" t="s">
        <v>2363</v>
      </c>
      <c r="E219" s="399" t="s">
        <v>892</v>
      </c>
      <c r="F219" s="399" t="s">
        <v>2370</v>
      </c>
      <c r="G219" s="399" t="s">
        <v>2371</v>
      </c>
      <c r="H219" s="399" t="s">
        <v>1237</v>
      </c>
      <c r="I219" s="399" t="s">
        <v>1237</v>
      </c>
      <c r="J219" s="399" t="s">
        <v>2353</v>
      </c>
      <c r="K219" s="789">
        <v>44593</v>
      </c>
      <c r="L219" s="399">
        <v>0</v>
      </c>
      <c r="M219" s="399">
        <v>0</v>
      </c>
      <c r="N219" s="399">
        <v>6.173</v>
      </c>
      <c r="O219" s="399">
        <v>6.173</v>
      </c>
      <c r="P219" s="399">
        <v>6.173</v>
      </c>
      <c r="Q219" s="399">
        <v>6.173</v>
      </c>
      <c r="R219" s="399"/>
      <c r="S219" s="399">
        <v>415.98</v>
      </c>
      <c r="T219" s="399">
        <v>215.17</v>
      </c>
      <c r="U219" s="399"/>
      <c r="V219" s="399">
        <v>3896.0889500000003</v>
      </c>
      <c r="W219" s="399">
        <v>3896.0889500000003</v>
      </c>
      <c r="X219" s="399">
        <v>3386.13742</v>
      </c>
      <c r="Y219" s="399">
        <v>0</v>
      </c>
      <c r="Z219" s="399">
        <v>377.08757003541763</v>
      </c>
      <c r="AA219" s="399">
        <v>0</v>
      </c>
      <c r="AB219" s="399">
        <v>0</v>
      </c>
      <c r="AC219" s="399">
        <v>0</v>
      </c>
      <c r="AD219" s="399">
        <v>551.34505932168167</v>
      </c>
      <c r="AE219" s="399">
        <v>1560.5991658615537</v>
      </c>
      <c r="AF219" s="399">
        <v>1301.0334407101125</v>
      </c>
      <c r="AG219" s="399">
        <v>27.204253187111849</v>
      </c>
      <c r="AH219" s="399">
        <v>0</v>
      </c>
      <c r="AI219" s="399">
        <v>0</v>
      </c>
      <c r="AJ219" s="399">
        <v>0</v>
      </c>
      <c r="AK219" s="399">
        <v>0</v>
      </c>
      <c r="AL219" s="399">
        <v>58.269702364170449</v>
      </c>
      <c r="AM219" s="399"/>
      <c r="AN219" s="399">
        <v>7.2680746368818507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13.283891935317554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>
        <v>406.30685999999997</v>
      </c>
      <c r="BS219" s="399"/>
      <c r="BT219" s="399"/>
      <c r="BU219" s="399"/>
      <c r="BV219" s="399">
        <v>1314.31733264543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2978.3824</v>
      </c>
      <c r="CJ219" s="399">
        <v>-450.19353000000092</v>
      </c>
      <c r="CK219" s="399"/>
      <c r="CL219" s="399"/>
      <c r="CM219" s="399"/>
      <c r="CN219" s="399"/>
      <c r="CO219" s="399">
        <v>-677.73367000000007</v>
      </c>
      <c r="CP219" s="399">
        <v>167.78214000000006</v>
      </c>
      <c r="CQ219" s="399">
        <v>29</v>
      </c>
      <c r="CR219" s="399">
        <v>174.78166602669262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22.948184397991668</v>
      </c>
      <c r="DA219" s="399">
        <v>0</v>
      </c>
      <c r="DB219" s="399">
        <v>0</v>
      </c>
      <c r="DC219" s="399">
        <v>167.77896139363611</v>
      </c>
      <c r="DD219" s="399">
        <v>0</v>
      </c>
      <c r="DE219" s="399">
        <v>0</v>
      </c>
      <c r="DF219" s="399">
        <v>0</v>
      </c>
      <c r="DG219" s="399">
        <v>1.713067106835048</v>
      </c>
      <c r="DH219" s="399">
        <v>0</v>
      </c>
      <c r="DI219" s="399">
        <v>-15.332002522708876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-1.8527165685480114</v>
      </c>
      <c r="DP219" s="399">
        <v>-0.47382778051359953</v>
      </c>
      <c r="DQ219" s="399">
        <v>0</v>
      </c>
      <c r="DR219" s="399">
        <v>0</v>
      </c>
      <c r="DS219" s="399"/>
      <c r="DT219" s="399"/>
      <c r="DU219" s="399"/>
      <c r="DV219" s="399">
        <v>1560.5991658615537</v>
      </c>
      <c r="DW219" s="399">
        <v>0</v>
      </c>
      <c r="DX219" s="399">
        <v>0</v>
      </c>
      <c r="DY219" s="399">
        <v>-677.73367000000007</v>
      </c>
      <c r="DZ219" s="399">
        <v>167.78214000000003</v>
      </c>
      <c r="EA219" s="399">
        <v>0</v>
      </c>
      <c r="EB219" s="399">
        <v>0</v>
      </c>
      <c r="EC219" s="399">
        <v>-684.74769536535007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216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2355</v>
      </c>
      <c r="C220" s="399" t="s">
        <v>2352</v>
      </c>
      <c r="D220" s="399" t="s">
        <v>2363</v>
      </c>
      <c r="E220" s="399" t="s">
        <v>892</v>
      </c>
      <c r="F220" s="399" t="s">
        <v>2370</v>
      </c>
      <c r="G220" s="399" t="s">
        <v>2371</v>
      </c>
      <c r="H220" s="399" t="s">
        <v>1237</v>
      </c>
      <c r="I220" s="399" t="s">
        <v>1237</v>
      </c>
      <c r="J220" s="399" t="s">
        <v>2353</v>
      </c>
      <c r="K220" s="789">
        <v>44593</v>
      </c>
      <c r="L220" s="399">
        <v>0</v>
      </c>
      <c r="M220" s="399">
        <v>0</v>
      </c>
      <c r="N220" s="399">
        <v>0.16200000000000001</v>
      </c>
      <c r="O220" s="399">
        <v>0.16200000000000001</v>
      </c>
      <c r="P220" s="399">
        <v>0.16200000000000001</v>
      </c>
      <c r="Q220" s="399">
        <v>0.16200000000000001</v>
      </c>
      <c r="R220" s="399"/>
      <c r="S220" s="399">
        <v>415.98</v>
      </c>
      <c r="T220" s="399">
        <v>215.17</v>
      </c>
      <c r="U220" s="399"/>
      <c r="V220" s="399">
        <v>102.24630000000001</v>
      </c>
      <c r="W220" s="399">
        <v>102.24630000000001</v>
      </c>
      <c r="X220" s="399">
        <v>88.86348000000001</v>
      </c>
      <c r="Y220" s="399">
        <v>0</v>
      </c>
      <c r="Z220" s="399">
        <v>9.896028891258327</v>
      </c>
      <c r="AA220" s="399">
        <v>0</v>
      </c>
      <c r="AB220" s="399">
        <v>0</v>
      </c>
      <c r="AC220" s="399">
        <v>0</v>
      </c>
      <c r="AD220" s="399">
        <v>14.469123539626185</v>
      </c>
      <c r="AE220" s="399">
        <v>40.955299671079167</v>
      </c>
      <c r="AF220" s="399">
        <v>34.143433888715087</v>
      </c>
      <c r="AG220" s="399">
        <v>0.71392985846624324</v>
      </c>
      <c r="AH220" s="399">
        <v>0</v>
      </c>
      <c r="AI220" s="399">
        <v>0</v>
      </c>
      <c r="AJ220" s="399">
        <v>0</v>
      </c>
      <c r="AK220" s="399">
        <v>0</v>
      </c>
      <c r="AL220" s="399">
        <v>1.5291903098972319</v>
      </c>
      <c r="AM220" s="399"/>
      <c r="AN220" s="399">
        <v>0.19073839157214642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0.34861339600217783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>
        <v>10.662839999999999</v>
      </c>
      <c r="BS220" s="399"/>
      <c r="BT220" s="399"/>
      <c r="BU220" s="399"/>
      <c r="BV220" s="399">
        <v>34.492047284717266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77.235200000000006</v>
      </c>
      <c r="CJ220" s="399">
        <v>-12.77122</v>
      </c>
      <c r="CK220" s="399"/>
      <c r="CL220" s="399"/>
      <c r="CM220" s="399"/>
      <c r="CN220" s="399"/>
      <c r="CO220" s="399">
        <v>-17.785980000000002</v>
      </c>
      <c r="CP220" s="399">
        <v>4.4031600000000015</v>
      </c>
      <c r="CQ220" s="399">
        <v>29</v>
      </c>
      <c r="CR220" s="399">
        <v>4.5868507850841027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0.60223649319206984</v>
      </c>
      <c r="DA220" s="399">
        <v>0</v>
      </c>
      <c r="DB220" s="399">
        <v>0</v>
      </c>
      <c r="DC220" s="399">
        <v>4.4030765828234308</v>
      </c>
      <c r="DD220" s="399">
        <v>0</v>
      </c>
      <c r="DE220" s="399">
        <v>0</v>
      </c>
      <c r="DF220" s="399">
        <v>0</v>
      </c>
      <c r="DG220" s="399">
        <v>4.4956564281107669E-2</v>
      </c>
      <c r="DH220" s="399">
        <v>0</v>
      </c>
      <c r="DI220" s="399">
        <v>-0.4023626127780382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-4.8621429467807786E-2</v>
      </c>
      <c r="DP220" s="399">
        <v>-1.2434812966661768E-2</v>
      </c>
      <c r="DQ220" s="399">
        <v>0</v>
      </c>
      <c r="DR220" s="399">
        <v>0</v>
      </c>
      <c r="DS220" s="399"/>
      <c r="DT220" s="399"/>
      <c r="DU220" s="399"/>
      <c r="DV220" s="399">
        <v>40.955299671079167</v>
      </c>
      <c r="DW220" s="399">
        <v>0</v>
      </c>
      <c r="DX220" s="399">
        <v>0</v>
      </c>
      <c r="DY220" s="399">
        <v>-17.785980000000002</v>
      </c>
      <c r="DZ220" s="399">
        <v>4.4031599999999997</v>
      </c>
      <c r="EA220" s="399">
        <v>0</v>
      </c>
      <c r="EB220" s="399">
        <v>0</v>
      </c>
      <c r="EC220" s="399">
        <v>-17.970051295834555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216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954</v>
      </c>
      <c r="C221" s="399" t="s">
        <v>2352</v>
      </c>
      <c r="D221" s="399" t="s">
        <v>2363</v>
      </c>
      <c r="E221" s="399" t="s">
        <v>892</v>
      </c>
      <c r="F221" s="399" t="s">
        <v>2370</v>
      </c>
      <c r="G221" s="399" t="s">
        <v>2372</v>
      </c>
      <c r="H221" s="399" t="s">
        <v>1237</v>
      </c>
      <c r="I221" s="399" t="s">
        <v>1237</v>
      </c>
      <c r="J221" s="399" t="s">
        <v>2353</v>
      </c>
      <c r="K221" s="789">
        <v>44593</v>
      </c>
      <c r="L221" s="399">
        <v>0</v>
      </c>
      <c r="M221" s="399">
        <v>0</v>
      </c>
      <c r="N221" s="399">
        <v>7.8330000000000002</v>
      </c>
      <c r="O221" s="399">
        <v>3.1332</v>
      </c>
      <c r="P221" s="399">
        <v>7.8330000000000002</v>
      </c>
      <c r="Q221" s="399">
        <v>3.1332</v>
      </c>
      <c r="R221" s="399"/>
      <c r="S221" s="399">
        <v>415.98</v>
      </c>
      <c r="T221" s="399">
        <v>215.17</v>
      </c>
      <c r="U221" s="399"/>
      <c r="V221" s="399">
        <v>4943.7979500000001</v>
      </c>
      <c r="W221" s="399">
        <v>4943.7979500000001</v>
      </c>
      <c r="X221" s="399">
        <v>4296.7138199999999</v>
      </c>
      <c r="Y221" s="399">
        <v>0</v>
      </c>
      <c r="Z221" s="399">
        <v>478.49132287176838</v>
      </c>
      <c r="AA221" s="399">
        <v>0</v>
      </c>
      <c r="AB221" s="399">
        <v>0</v>
      </c>
      <c r="AC221" s="399">
        <v>0</v>
      </c>
      <c r="AD221" s="399">
        <v>699.6089178141475</v>
      </c>
      <c r="AE221" s="399">
        <v>1980.2645822442169</v>
      </c>
      <c r="AF221" s="399">
        <v>1650.8982571006497</v>
      </c>
      <c r="AG221" s="399">
        <v>34.519830749173352</v>
      </c>
      <c r="AH221" s="399">
        <v>0</v>
      </c>
      <c r="AI221" s="399">
        <v>0</v>
      </c>
      <c r="AJ221" s="399">
        <v>0</v>
      </c>
      <c r="AK221" s="399">
        <v>0</v>
      </c>
      <c r="AL221" s="399">
        <v>73.939183317438378</v>
      </c>
      <c r="AM221" s="399"/>
      <c r="AN221" s="399">
        <v>9.2225544517569311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16.856103277068264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>
        <v>2784.2555159999993</v>
      </c>
      <c r="BT221" s="399"/>
      <c r="BU221" s="399"/>
      <c r="BV221" s="399">
        <v>1667.7543603777181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1510.9135999999999</v>
      </c>
      <c r="CJ221" s="399">
        <v>-229.3270120000002</v>
      </c>
      <c r="CK221" s="399"/>
      <c r="CL221" s="399"/>
      <c r="CM221" s="399"/>
      <c r="CN221" s="399"/>
      <c r="CO221" s="399">
        <v>-859.98507000000018</v>
      </c>
      <c r="CP221" s="399">
        <v>212.90094000000005</v>
      </c>
      <c r="CQ221" s="399">
        <v>29</v>
      </c>
      <c r="CR221" s="399">
        <v>221.782729626937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29.119249698601834</v>
      </c>
      <c r="DA221" s="399">
        <v>0</v>
      </c>
      <c r="DB221" s="399">
        <v>0</v>
      </c>
      <c r="DC221" s="399">
        <v>212.89690662503676</v>
      </c>
      <c r="DD221" s="399">
        <v>0</v>
      </c>
      <c r="DE221" s="399">
        <v>0</v>
      </c>
      <c r="DF221" s="399">
        <v>0</v>
      </c>
      <c r="DG221" s="399">
        <v>2.1737331358883729</v>
      </c>
      <c r="DH221" s="399">
        <v>0</v>
      </c>
      <c r="DI221" s="399">
        <v>-19.454977443767746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-2.3509361544526968</v>
      </c>
      <c r="DP221" s="399">
        <v>-0.60124623436951552</v>
      </c>
      <c r="DQ221" s="399">
        <v>0</v>
      </c>
      <c r="DR221" s="399">
        <v>0</v>
      </c>
      <c r="DS221" s="399"/>
      <c r="DT221" s="399"/>
      <c r="DU221" s="399"/>
      <c r="DV221" s="399">
        <v>1980.2645822442169</v>
      </c>
      <c r="DW221" s="399">
        <v>0</v>
      </c>
      <c r="DX221" s="399">
        <v>0</v>
      </c>
      <c r="DY221" s="399">
        <v>-859.98507000000018</v>
      </c>
      <c r="DZ221" s="399">
        <v>212.90093999999999</v>
      </c>
      <c r="EA221" s="399">
        <v>0</v>
      </c>
      <c r="EB221" s="399">
        <v>0</v>
      </c>
      <c r="EC221" s="399">
        <v>-868.88525802637082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216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2355</v>
      </c>
      <c r="C222" s="399" t="s">
        <v>2352</v>
      </c>
      <c r="D222" s="399" t="s">
        <v>2363</v>
      </c>
      <c r="E222" s="399" t="s">
        <v>892</v>
      </c>
      <c r="F222" s="399" t="s">
        <v>2370</v>
      </c>
      <c r="G222" s="399" t="s">
        <v>2372</v>
      </c>
      <c r="H222" s="399" t="s">
        <v>1237</v>
      </c>
      <c r="I222" s="399" t="s">
        <v>1237</v>
      </c>
      <c r="J222" s="399" t="s">
        <v>2353</v>
      </c>
      <c r="K222" s="789">
        <v>44593</v>
      </c>
      <c r="L222" s="399">
        <v>0</v>
      </c>
      <c r="M222" s="399">
        <v>0</v>
      </c>
      <c r="N222" s="399">
        <v>0.152</v>
      </c>
      <c r="O222" s="399">
        <v>6.08E-2</v>
      </c>
      <c r="P222" s="399">
        <v>0.152</v>
      </c>
      <c r="Q222" s="399">
        <v>6.08E-2</v>
      </c>
      <c r="R222" s="399"/>
      <c r="S222" s="399">
        <v>415.98</v>
      </c>
      <c r="T222" s="399">
        <v>215.17</v>
      </c>
      <c r="U222" s="399"/>
      <c r="V222" s="399">
        <v>95.934799999999996</v>
      </c>
      <c r="W222" s="399">
        <v>95.934799999999996</v>
      </c>
      <c r="X222" s="399">
        <v>83.378079999999997</v>
      </c>
      <c r="Y222" s="399">
        <v>0</v>
      </c>
      <c r="Z222" s="399">
        <v>9.2851629103164548</v>
      </c>
      <c r="AA222" s="399">
        <v>0</v>
      </c>
      <c r="AB222" s="399">
        <v>0</v>
      </c>
      <c r="AC222" s="399">
        <v>0</v>
      </c>
      <c r="AD222" s="399">
        <v>13.575967765575184</v>
      </c>
      <c r="AE222" s="399">
        <v>38.427194753111316</v>
      </c>
      <c r="AF222" s="399">
        <v>32.03581451286847</v>
      </c>
      <c r="AG222" s="399">
        <v>0.66986011411647517</v>
      </c>
      <c r="AH222" s="399">
        <v>0</v>
      </c>
      <c r="AI222" s="399">
        <v>0</v>
      </c>
      <c r="AJ222" s="399">
        <v>0</v>
      </c>
      <c r="AK222" s="399">
        <v>0</v>
      </c>
      <c r="AL222" s="399">
        <v>1.4347958463233286</v>
      </c>
      <c r="AM222" s="399"/>
      <c r="AN222" s="399">
        <v>0.17896441678374231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0.32709405056994462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/>
      <c r="BS222" s="399">
        <v>54.028703999999998</v>
      </c>
      <c r="BT222" s="399"/>
      <c r="BU222" s="399"/>
      <c r="BV222" s="399">
        <v>32.362908563438417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28.963200000000001</v>
      </c>
      <c r="CJ222" s="399">
        <v>-4.835727999999996</v>
      </c>
      <c r="CK222" s="399"/>
      <c r="CL222" s="399"/>
      <c r="CM222" s="399"/>
      <c r="CN222" s="399"/>
      <c r="CO222" s="399">
        <v>-16.688080000000003</v>
      </c>
      <c r="CP222" s="399">
        <v>4.1313600000000008</v>
      </c>
      <c r="CQ222" s="399">
        <v>29</v>
      </c>
      <c r="CR222" s="399">
        <v>4.3037118477332328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0.56506140101972058</v>
      </c>
      <c r="DA222" s="399">
        <v>0</v>
      </c>
      <c r="DB222" s="399">
        <v>0</v>
      </c>
      <c r="DC222" s="399">
        <v>4.1312817320318658</v>
      </c>
      <c r="DD222" s="399">
        <v>0</v>
      </c>
      <c r="DE222" s="399">
        <v>0</v>
      </c>
      <c r="DF222" s="399">
        <v>0</v>
      </c>
      <c r="DG222" s="399">
        <v>4.2181467720545485E-2</v>
      </c>
      <c r="DH222" s="399">
        <v>0</v>
      </c>
      <c r="DI222" s="399">
        <v>-0.37752541445840571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-4.5620106661152793E-2</v>
      </c>
      <c r="DP222" s="399">
        <v>-1.1667231919336968E-2</v>
      </c>
      <c r="DQ222" s="399">
        <v>0</v>
      </c>
      <c r="DR222" s="399">
        <v>0</v>
      </c>
      <c r="DS222" s="399"/>
      <c r="DT222" s="399"/>
      <c r="DU222" s="399"/>
      <c r="DV222" s="399">
        <v>38.427194753111316</v>
      </c>
      <c r="DW222" s="399">
        <v>0</v>
      </c>
      <c r="DX222" s="399">
        <v>0</v>
      </c>
      <c r="DY222" s="399">
        <v>-16.688079999999999</v>
      </c>
      <c r="DZ222" s="399">
        <v>4.1313600000000008</v>
      </c>
      <c r="EA222" s="399">
        <v>0</v>
      </c>
      <c r="EB222" s="399">
        <v>0</v>
      </c>
      <c r="EC222" s="399">
        <v>-16.860788870165756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216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954</v>
      </c>
      <c r="C223" s="399" t="s">
        <v>2352</v>
      </c>
      <c r="D223" s="399" t="s">
        <v>2363</v>
      </c>
      <c r="E223" s="399" t="s">
        <v>892</v>
      </c>
      <c r="F223" s="399" t="s">
        <v>2373</v>
      </c>
      <c r="G223" s="399" t="s">
        <v>2371</v>
      </c>
      <c r="H223" s="399" t="s">
        <v>1237</v>
      </c>
      <c r="I223" s="399" t="s">
        <v>1237</v>
      </c>
      <c r="J223" s="399" t="s">
        <v>2353</v>
      </c>
      <c r="K223" s="789">
        <v>44593</v>
      </c>
      <c r="L223" s="399">
        <v>0</v>
      </c>
      <c r="M223" s="399">
        <v>0</v>
      </c>
      <c r="N223" s="399">
        <v>0</v>
      </c>
      <c r="O223" s="399">
        <v>0</v>
      </c>
      <c r="P223" s="399">
        <v>0</v>
      </c>
      <c r="Q223" s="399">
        <v>0</v>
      </c>
      <c r="R223" s="399"/>
      <c r="S223" s="399"/>
      <c r="T223" s="399"/>
      <c r="U223" s="399"/>
      <c r="V223" s="399"/>
      <c r="W223" s="399"/>
      <c r="X223" s="399"/>
      <c r="Y223" s="399"/>
      <c r="Z223" s="399"/>
      <c r="AA223" s="399">
        <v>0</v>
      </c>
      <c r="AB223" s="399"/>
      <c r="AC223" s="399"/>
      <c r="AD223" s="399"/>
      <c r="AE223" s="399"/>
      <c r="AF223" s="399"/>
      <c r="AG223" s="399"/>
      <c r="AH223" s="399"/>
      <c r="AI223" s="399"/>
      <c r="AJ223" s="399"/>
      <c r="AK223" s="399"/>
      <c r="AL223" s="399"/>
      <c r="AM223" s="399"/>
      <c r="AN223" s="399"/>
      <c r="AO223" s="399"/>
      <c r="AP223" s="399"/>
      <c r="AQ223" s="399"/>
      <c r="AR223" s="399"/>
      <c r="AS223" s="399"/>
      <c r="AT223" s="399"/>
      <c r="AU223" s="399"/>
      <c r="AV223" s="399"/>
      <c r="AW223" s="399"/>
      <c r="AX223" s="399"/>
      <c r="AY223" s="399"/>
      <c r="AZ223" s="399">
        <v>0</v>
      </c>
      <c r="BA223" s="399"/>
      <c r="BB223" s="399"/>
      <c r="BC223" s="399"/>
      <c r="BD223" s="399"/>
      <c r="BE223" s="399"/>
      <c r="BF223" s="399"/>
      <c r="BG223" s="399"/>
      <c r="BH223" s="399"/>
      <c r="BI223" s="399">
        <v>0</v>
      </c>
      <c r="BJ223" s="399">
        <v>0</v>
      </c>
      <c r="BK223" s="399">
        <v>978.26</v>
      </c>
      <c r="BL223" s="399">
        <v>2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/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/>
      <c r="CJ223" s="399">
        <v>-0.03</v>
      </c>
      <c r="CK223" s="399"/>
      <c r="CL223" s="399"/>
      <c r="CM223" s="399"/>
      <c r="CN223" s="399"/>
      <c r="CO223" s="399">
        <v>0</v>
      </c>
      <c r="CP223" s="399">
        <v>0</v>
      </c>
      <c r="CQ223" s="399">
        <v>29</v>
      </c>
      <c r="CR223" s="399"/>
      <c r="CS223" s="399"/>
      <c r="CT223" s="399"/>
      <c r="CU223" s="399"/>
      <c r="CV223" s="399"/>
      <c r="CW223" s="399"/>
      <c r="CX223" s="399"/>
      <c r="CY223" s="399"/>
      <c r="CZ223" s="399"/>
      <c r="DA223" s="399"/>
      <c r="DB223" s="399"/>
      <c r="DC223" s="399"/>
      <c r="DD223" s="399"/>
      <c r="DE223" s="399"/>
      <c r="DF223" s="399"/>
      <c r="DG223" s="399"/>
      <c r="DH223" s="399"/>
      <c r="DI223" s="399"/>
      <c r="DJ223" s="399"/>
      <c r="DK223" s="399">
        <v>0</v>
      </c>
      <c r="DL223" s="399"/>
      <c r="DM223" s="399"/>
      <c r="DN223" s="399"/>
      <c r="DO223" s="399"/>
      <c r="DP223" s="399"/>
      <c r="DQ223" s="399"/>
      <c r="DR223" s="399"/>
      <c r="DS223" s="399"/>
      <c r="DT223" s="399"/>
      <c r="DU223" s="399"/>
      <c r="DV223" s="399"/>
      <c r="DW223" s="399"/>
      <c r="DX223" s="399"/>
      <c r="DY223" s="399"/>
      <c r="DZ223" s="399"/>
      <c r="EA223" s="399"/>
      <c r="EB223" s="399"/>
      <c r="EC223" s="399"/>
      <c r="ED223" s="399"/>
      <c r="EE223" s="399"/>
      <c r="EF223" s="399"/>
      <c r="EG223" s="399"/>
      <c r="EH223" s="399"/>
      <c r="EI223" s="399"/>
      <c r="EJ223" s="399"/>
      <c r="EK223" s="399"/>
      <c r="EL223" s="399"/>
      <c r="EM223" s="399"/>
      <c r="EN223" s="399"/>
      <c r="EO223" s="399"/>
      <c r="EP223" s="399"/>
      <c r="EQ223" s="399"/>
      <c r="ER223" s="399"/>
      <c r="ES223" s="399"/>
      <c r="ET223" s="399"/>
      <c r="EU223" s="399"/>
      <c r="EV223" s="399">
        <v>216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954</v>
      </c>
      <c r="C224" s="399" t="s">
        <v>2352</v>
      </c>
      <c r="D224" s="399" t="s">
        <v>2363</v>
      </c>
      <c r="E224" s="399" t="s">
        <v>892</v>
      </c>
      <c r="F224" s="399" t="s">
        <v>2373</v>
      </c>
      <c r="G224" s="399" t="s">
        <v>2371</v>
      </c>
      <c r="H224" s="399" t="s">
        <v>1237</v>
      </c>
      <c r="I224" s="399" t="s">
        <v>1237</v>
      </c>
      <c r="J224" s="399" t="s">
        <v>2353</v>
      </c>
      <c r="K224" s="789">
        <v>44593</v>
      </c>
      <c r="L224" s="399">
        <v>0</v>
      </c>
      <c r="M224" s="399">
        <v>0</v>
      </c>
      <c r="N224" s="399">
        <v>0.88600000000000001</v>
      </c>
      <c r="O224" s="399">
        <v>0.88600000000000001</v>
      </c>
      <c r="P224" s="399">
        <v>0.88600000000000001</v>
      </c>
      <c r="Q224" s="399">
        <v>0.88600000000000001</v>
      </c>
      <c r="R224" s="399"/>
      <c r="S224" s="399">
        <v>415.98</v>
      </c>
      <c r="T224" s="399">
        <v>215.17</v>
      </c>
      <c r="U224" s="399"/>
      <c r="V224" s="399">
        <v>559.19889999999998</v>
      </c>
      <c r="W224" s="399">
        <v>559.19889999999998</v>
      </c>
      <c r="X224" s="399">
        <v>486.00644</v>
      </c>
      <c r="Y224" s="399">
        <v>0</v>
      </c>
      <c r="Z224" s="399">
        <v>54.122725911449862</v>
      </c>
      <c r="AA224" s="399">
        <v>0</v>
      </c>
      <c r="AB224" s="399">
        <v>0</v>
      </c>
      <c r="AC224" s="399">
        <v>0</v>
      </c>
      <c r="AD224" s="399">
        <v>79.133601580918508</v>
      </c>
      <c r="AE224" s="399">
        <v>223.9900957319515</v>
      </c>
      <c r="AF224" s="399">
        <v>186.73507670000967</v>
      </c>
      <c r="AG224" s="399">
        <v>3.9045793493894538</v>
      </c>
      <c r="AH224" s="399">
        <v>0</v>
      </c>
      <c r="AI224" s="399">
        <v>0</v>
      </c>
      <c r="AJ224" s="399">
        <v>0</v>
      </c>
      <c r="AK224" s="399">
        <v>0</v>
      </c>
      <c r="AL224" s="399">
        <v>8.3633494726478244</v>
      </c>
      <c r="AM224" s="399"/>
      <c r="AN224" s="399">
        <v>1.0431741662526033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1.9066140052958616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>
        <v>58.316519999999997</v>
      </c>
      <c r="BS224" s="399"/>
      <c r="BT224" s="399"/>
      <c r="BU224" s="399"/>
      <c r="BV224" s="399">
        <v>188.64169070530554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429.62080000000003</v>
      </c>
      <c r="CJ224" s="399">
        <v>-62.502459999999928</v>
      </c>
      <c r="CK224" s="399"/>
      <c r="CL224" s="399"/>
      <c r="CM224" s="399"/>
      <c r="CN224" s="399"/>
      <c r="CO224" s="399">
        <v>-97.273940000000024</v>
      </c>
      <c r="CP224" s="399">
        <v>24.081480000000006</v>
      </c>
      <c r="CQ224" s="399">
        <v>29</v>
      </c>
      <c r="CR224" s="399">
        <v>25.086109849287141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3.2937131664702264</v>
      </c>
      <c r="DA224" s="399">
        <v>0</v>
      </c>
      <c r="DB224" s="399">
        <v>0</v>
      </c>
      <c r="DC224" s="399">
        <v>24.08102378013308</v>
      </c>
      <c r="DD224" s="399">
        <v>0</v>
      </c>
      <c r="DE224" s="399">
        <v>0</v>
      </c>
      <c r="DF224" s="399">
        <v>0</v>
      </c>
      <c r="DG224" s="399">
        <v>0.24587355526581089</v>
      </c>
      <c r="DH224" s="399">
        <v>0</v>
      </c>
      <c r="DI224" s="399">
        <v>-2.2005757711193965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-0.26591720066961599</v>
      </c>
      <c r="DP224" s="399">
        <v>-6.8007680792977365E-2</v>
      </c>
      <c r="DQ224" s="399">
        <v>0</v>
      </c>
      <c r="DR224" s="399">
        <v>0</v>
      </c>
      <c r="DS224" s="399"/>
      <c r="DT224" s="399"/>
      <c r="DU224" s="399"/>
      <c r="DV224" s="399">
        <v>223.9900957319515</v>
      </c>
      <c r="DW224" s="399">
        <v>0</v>
      </c>
      <c r="DX224" s="399">
        <v>0</v>
      </c>
      <c r="DY224" s="399">
        <v>-97.273940000000039</v>
      </c>
      <c r="DZ224" s="399">
        <v>24.081479999999999</v>
      </c>
      <c r="EA224" s="399">
        <v>0</v>
      </c>
      <c r="EB224" s="399">
        <v>0</v>
      </c>
      <c r="EC224" s="399">
        <v>-98.280650914255659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216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954</v>
      </c>
      <c r="C225" s="399" t="s">
        <v>2352</v>
      </c>
      <c r="D225" s="399" t="s">
        <v>2363</v>
      </c>
      <c r="E225" s="399" t="s">
        <v>892</v>
      </c>
      <c r="F225" s="399" t="s">
        <v>2373</v>
      </c>
      <c r="G225" s="399" t="s">
        <v>2372</v>
      </c>
      <c r="H225" s="399" t="s">
        <v>1237</v>
      </c>
      <c r="I225" s="399" t="s">
        <v>1237</v>
      </c>
      <c r="J225" s="399" t="s">
        <v>2353</v>
      </c>
      <c r="K225" s="789">
        <v>44593</v>
      </c>
      <c r="L225" s="399">
        <v>0</v>
      </c>
      <c r="M225" s="399">
        <v>0</v>
      </c>
      <c r="N225" s="399">
        <v>3.9550000000000001</v>
      </c>
      <c r="O225" s="399">
        <v>1.5820000000000001</v>
      </c>
      <c r="P225" s="399">
        <v>3.9550000000000001</v>
      </c>
      <c r="Q225" s="399">
        <v>1.5820000000000001</v>
      </c>
      <c r="R225" s="399"/>
      <c r="S225" s="399">
        <v>415.98</v>
      </c>
      <c r="T225" s="399">
        <v>215.17</v>
      </c>
      <c r="U225" s="399"/>
      <c r="V225" s="399">
        <v>2496.1982499999999</v>
      </c>
      <c r="W225" s="399">
        <v>2496.1982499999999</v>
      </c>
      <c r="X225" s="399">
        <v>2169.4757</v>
      </c>
      <c r="Y225" s="399">
        <v>0</v>
      </c>
      <c r="Z225" s="399">
        <v>241.59749546251038</v>
      </c>
      <c r="AA225" s="399">
        <v>0</v>
      </c>
      <c r="AB225" s="399">
        <v>0</v>
      </c>
      <c r="AC225" s="399">
        <v>0</v>
      </c>
      <c r="AD225" s="399">
        <v>353.24310863717011</v>
      </c>
      <c r="AE225" s="399">
        <v>999.86549505628466</v>
      </c>
      <c r="AF225" s="399">
        <v>833.56346314733435</v>
      </c>
      <c r="AG225" s="399">
        <v>17.429583890333284</v>
      </c>
      <c r="AH225" s="399">
        <v>0</v>
      </c>
      <c r="AI225" s="399">
        <v>0</v>
      </c>
      <c r="AJ225" s="399">
        <v>0</v>
      </c>
      <c r="AK225" s="399">
        <v>0</v>
      </c>
      <c r="AL225" s="399">
        <v>37.333010343478719</v>
      </c>
      <c r="AM225" s="399"/>
      <c r="AN225" s="399">
        <v>4.6566070288138217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8.5109011184482295</v>
      </c>
      <c r="BH225" s="399">
        <v>0</v>
      </c>
      <c r="BI225" s="399">
        <v>0</v>
      </c>
      <c r="BJ225" s="399">
        <v>0</v>
      </c>
      <c r="BK225" s="399">
        <v>0</v>
      </c>
      <c r="BL225" s="399">
        <v>0</v>
      </c>
      <c r="BM225" s="399"/>
      <c r="BN225" s="399"/>
      <c r="BO225" s="399"/>
      <c r="BP225" s="399"/>
      <c r="BQ225" s="399"/>
      <c r="BR225" s="399"/>
      <c r="BS225" s="399">
        <v>1405.8126600000001</v>
      </c>
      <c r="BT225" s="399"/>
      <c r="BU225" s="399"/>
      <c r="BV225" s="399">
        <v>842.07436426578261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762.69759999999997</v>
      </c>
      <c r="CJ225" s="399">
        <v>-115.99102000000005</v>
      </c>
      <c r="CK225" s="399"/>
      <c r="CL225" s="399"/>
      <c r="CM225" s="399"/>
      <c r="CN225" s="399"/>
      <c r="CO225" s="399">
        <v>-434.21945000000011</v>
      </c>
      <c r="CP225" s="399">
        <v>107.49690000000002</v>
      </c>
      <c r="CQ225" s="399">
        <v>29</v>
      </c>
      <c r="CR225" s="399">
        <v>111.98144972226942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14.702748954164463</v>
      </c>
      <c r="DA225" s="399">
        <v>0</v>
      </c>
      <c r="DB225" s="399">
        <v>0</v>
      </c>
      <c r="DC225" s="399">
        <v>107.4948634880659</v>
      </c>
      <c r="DD225" s="399">
        <v>0</v>
      </c>
      <c r="DE225" s="399">
        <v>0</v>
      </c>
      <c r="DF225" s="399">
        <v>0</v>
      </c>
      <c r="DG225" s="399">
        <v>1.0975506897023521</v>
      </c>
      <c r="DH225" s="399">
        <v>0</v>
      </c>
      <c r="DI225" s="399">
        <v>-9.8231119354144312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-1.1870231700319778</v>
      </c>
      <c r="DP225" s="399">
        <v>-0.30357830421695908</v>
      </c>
      <c r="DQ225" s="399">
        <v>0</v>
      </c>
      <c r="DR225" s="399">
        <v>0</v>
      </c>
      <c r="DS225" s="399"/>
      <c r="DT225" s="399"/>
      <c r="DU225" s="399"/>
      <c r="DV225" s="399">
        <v>999.86549505628466</v>
      </c>
      <c r="DW225" s="399">
        <v>0</v>
      </c>
      <c r="DX225" s="399">
        <v>0</v>
      </c>
      <c r="DY225" s="399">
        <v>-434.21945000000005</v>
      </c>
      <c r="DZ225" s="399">
        <v>107.49689999999998</v>
      </c>
      <c r="EA225" s="399">
        <v>0</v>
      </c>
      <c r="EB225" s="399">
        <v>0</v>
      </c>
      <c r="EC225" s="399">
        <v>-438.71328935201029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216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954</v>
      </c>
      <c r="C226" s="399" t="s">
        <v>2352</v>
      </c>
      <c r="D226" s="399" t="s">
        <v>1821</v>
      </c>
      <c r="E226" s="399" t="s">
        <v>887</v>
      </c>
      <c r="F226" s="399" t="s">
        <v>887</v>
      </c>
      <c r="G226" s="399" t="s">
        <v>1237</v>
      </c>
      <c r="H226" s="399" t="s">
        <v>1237</v>
      </c>
      <c r="I226" s="399" t="s">
        <v>1237</v>
      </c>
      <c r="J226" s="399" t="s">
        <v>2353</v>
      </c>
      <c r="K226" s="789">
        <v>44621</v>
      </c>
      <c r="L226" s="399">
        <v>0</v>
      </c>
      <c r="M226" s="399">
        <v>0</v>
      </c>
      <c r="N226" s="399">
        <v>532.94500000000005</v>
      </c>
      <c r="O226" s="399">
        <v>532.94500000000005</v>
      </c>
      <c r="P226" s="399">
        <v>532.94500000000005</v>
      </c>
      <c r="Q226" s="399">
        <v>532.94500000000005</v>
      </c>
      <c r="R226" s="399"/>
      <c r="S226" s="399">
        <v>415.98</v>
      </c>
      <c r="T226" s="399">
        <v>215.17</v>
      </c>
      <c r="U226" s="399"/>
      <c r="V226" s="399">
        <v>336368.23675000004</v>
      </c>
      <c r="W226" s="399">
        <v>336368.23675000004</v>
      </c>
      <c r="X226" s="399">
        <v>292341.65029999998</v>
      </c>
      <c r="Y226" s="399">
        <v>0</v>
      </c>
      <c r="Z226" s="399">
        <v>32555.7970213066</v>
      </c>
      <c r="AA226" s="399">
        <v>0</v>
      </c>
      <c r="AB226" s="399">
        <v>0</v>
      </c>
      <c r="AC226" s="399">
        <v>0</v>
      </c>
      <c r="AD226" s="399">
        <v>47600.290400160971</v>
      </c>
      <c r="AE226" s="399">
        <v>134734.08755063757</v>
      </c>
      <c r="AF226" s="399">
        <v>112324.52082605717</v>
      </c>
      <c r="AG226" s="399">
        <v>2348.6749902487163</v>
      </c>
      <c r="AH226" s="399">
        <v>0</v>
      </c>
      <c r="AI226" s="399">
        <v>0</v>
      </c>
      <c r="AJ226" s="399">
        <v>0</v>
      </c>
      <c r="AK226" s="399">
        <v>0</v>
      </c>
      <c r="AL226" s="399">
        <v>5030.7057389393849</v>
      </c>
      <c r="AM226" s="399"/>
      <c r="AN226" s="399">
        <v>627.4880993606024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1146.8627551381524</v>
      </c>
      <c r="BH226" s="399">
        <v>0</v>
      </c>
      <c r="BI226" s="399">
        <v>0</v>
      </c>
      <c r="BJ226" s="399">
        <v>0</v>
      </c>
      <c r="BK226" s="399">
        <v>76570.399999999994</v>
      </c>
      <c r="BL226" s="399">
        <v>2822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113471.38358119532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292344.39300000004</v>
      </c>
      <c r="CJ226" s="399">
        <v>-44023.873750000028</v>
      </c>
      <c r="CK226" s="399"/>
      <c r="CL226" s="399"/>
      <c r="CM226" s="399"/>
      <c r="CN226" s="399"/>
      <c r="CO226" s="399">
        <v>-58512.031550000014</v>
      </c>
      <c r="CP226" s="399">
        <v>14485.445100000004</v>
      </c>
      <c r="CQ226" s="399">
        <v>31</v>
      </c>
      <c r="CR226" s="399">
        <v>15089.748096645955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1981.2279497793133</v>
      </c>
      <c r="DA226" s="399">
        <v>0</v>
      </c>
      <c r="DB226" s="399">
        <v>0</v>
      </c>
      <c r="DC226" s="399">
        <v>14485.170675511326</v>
      </c>
      <c r="DD226" s="399">
        <v>0</v>
      </c>
      <c r="DE226" s="399">
        <v>0</v>
      </c>
      <c r="DF226" s="399">
        <v>0</v>
      </c>
      <c r="DG226" s="399">
        <v>147.89738364688219</v>
      </c>
      <c r="DH226" s="399">
        <v>0</v>
      </c>
      <c r="DI226" s="399">
        <v>-1323.6860658456244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-159.95399831926443</v>
      </c>
      <c r="DP226" s="399">
        <v>-40.907848126651629</v>
      </c>
      <c r="DQ226" s="399">
        <v>0</v>
      </c>
      <c r="DR226" s="399">
        <v>0</v>
      </c>
      <c r="DS226" s="399"/>
      <c r="DT226" s="399"/>
      <c r="DU226" s="399"/>
      <c r="DV226" s="399">
        <v>134734.08755063757</v>
      </c>
      <c r="DW226" s="399">
        <v>0</v>
      </c>
      <c r="DX226" s="399">
        <v>0</v>
      </c>
      <c r="DY226" s="399">
        <v>-58512.031550000043</v>
      </c>
      <c r="DZ226" s="399">
        <v>14485.445099999997</v>
      </c>
      <c r="EA226" s="399">
        <v>0</v>
      </c>
      <c r="EB226" s="399">
        <v>0</v>
      </c>
      <c r="EC226" s="399">
        <v>-59117.586344805837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216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2354</v>
      </c>
      <c r="C227" s="399" t="s">
        <v>2352</v>
      </c>
      <c r="D227" s="399" t="s">
        <v>1821</v>
      </c>
      <c r="E227" s="399" t="s">
        <v>887</v>
      </c>
      <c r="F227" s="399" t="s">
        <v>887</v>
      </c>
      <c r="G227" s="399" t="s">
        <v>1237</v>
      </c>
      <c r="H227" s="399" t="s">
        <v>1237</v>
      </c>
      <c r="I227" s="399" t="s">
        <v>1237</v>
      </c>
      <c r="J227" s="399" t="s">
        <v>2353</v>
      </c>
      <c r="K227" s="789">
        <v>44621</v>
      </c>
      <c r="L227" s="399">
        <v>0</v>
      </c>
      <c r="M227" s="399">
        <v>0</v>
      </c>
      <c r="N227" s="399">
        <v>-1.036</v>
      </c>
      <c r="O227" s="399">
        <v>-1.036</v>
      </c>
      <c r="P227" s="399">
        <v>-1.036</v>
      </c>
      <c r="Q227" s="399">
        <v>-1.036</v>
      </c>
      <c r="R227" s="399"/>
      <c r="S227" s="399">
        <v>415.98</v>
      </c>
      <c r="T227" s="399">
        <v>215.17</v>
      </c>
      <c r="U227" s="399"/>
      <c r="V227" s="399">
        <v>-653.87139999999999</v>
      </c>
      <c r="W227" s="399">
        <v>-653.87139999999999</v>
      </c>
      <c r="X227" s="399">
        <v>-568.28744000000006</v>
      </c>
      <c r="Y227" s="399">
        <v>0</v>
      </c>
      <c r="Z227" s="399">
        <v>-63.285715625577943</v>
      </c>
      <c r="AA227" s="399">
        <v>0</v>
      </c>
      <c r="AB227" s="399">
        <v>0</v>
      </c>
      <c r="AC227" s="399">
        <v>0</v>
      </c>
      <c r="AD227" s="399">
        <v>-92.530938191683504</v>
      </c>
      <c r="AE227" s="399">
        <v>-261.91166950146925</v>
      </c>
      <c r="AF227" s="399">
        <v>-218.34936733770883</v>
      </c>
      <c r="AG227" s="399">
        <v>-4.5656255146359754</v>
      </c>
      <c r="AH227" s="399">
        <v>0</v>
      </c>
      <c r="AI227" s="399">
        <v>0</v>
      </c>
      <c r="AJ227" s="399">
        <v>0</v>
      </c>
      <c r="AK227" s="399">
        <v>0</v>
      </c>
      <c r="AL227" s="399">
        <v>-9.7792664262563722</v>
      </c>
      <c r="AM227" s="399"/>
      <c r="AN227" s="399">
        <v>-1.2197837880786648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-2.2294041867793597</v>
      </c>
      <c r="BH227" s="399">
        <v>0</v>
      </c>
      <c r="BI227" s="399">
        <v>0</v>
      </c>
      <c r="BJ227" s="399">
        <v>0</v>
      </c>
      <c r="BK227" s="399">
        <v>-189.36</v>
      </c>
      <c r="BL227" s="399">
        <v>0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-220.57877152448819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-570.48160000000007</v>
      </c>
      <c r="CJ227" s="399">
        <v>83.35979999999995</v>
      </c>
      <c r="CK227" s="399"/>
      <c r="CL227" s="399"/>
      <c r="CM227" s="399"/>
      <c r="CN227" s="399"/>
      <c r="CO227" s="399">
        <v>113.74244000000003</v>
      </c>
      <c r="CP227" s="399">
        <v>-28.158480000000008</v>
      </c>
      <c r="CQ227" s="399">
        <v>31</v>
      </c>
      <c r="CR227" s="399">
        <v>-29.333193909550232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-3.8513395490554672</v>
      </c>
      <c r="DA227" s="399">
        <v>0</v>
      </c>
      <c r="DB227" s="399">
        <v>0</v>
      </c>
      <c r="DC227" s="399">
        <v>-28.157946542006641</v>
      </c>
      <c r="DD227" s="399">
        <v>0</v>
      </c>
      <c r="DE227" s="399">
        <v>0</v>
      </c>
      <c r="DF227" s="399">
        <v>0</v>
      </c>
      <c r="DG227" s="399">
        <v>-0.28750000367424411</v>
      </c>
      <c r="DH227" s="399">
        <v>0</v>
      </c>
      <c r="DI227" s="399">
        <v>2.5731337459138715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0.3109370427694369</v>
      </c>
      <c r="DP227" s="399">
        <v>7.9521396502849395E-2</v>
      </c>
      <c r="DQ227" s="399">
        <v>0</v>
      </c>
      <c r="DR227" s="399">
        <v>0</v>
      </c>
      <c r="DS227" s="399"/>
      <c r="DT227" s="399"/>
      <c r="DU227" s="399"/>
      <c r="DV227" s="399">
        <v>-261.91166950146925</v>
      </c>
      <c r="DW227" s="399">
        <v>0</v>
      </c>
      <c r="DX227" s="399">
        <v>0</v>
      </c>
      <c r="DY227" s="399">
        <v>113.74243999999999</v>
      </c>
      <c r="DZ227" s="399">
        <v>-28.158479999999997</v>
      </c>
      <c r="EA227" s="399">
        <v>0</v>
      </c>
      <c r="EB227" s="399">
        <v>0</v>
      </c>
      <c r="EC227" s="399">
        <v>114.91958729928766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216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2355</v>
      </c>
      <c r="C228" s="399" t="s">
        <v>2352</v>
      </c>
      <c r="D228" s="399" t="s">
        <v>1821</v>
      </c>
      <c r="E228" s="399" t="s">
        <v>887</v>
      </c>
      <c r="F228" s="399" t="s">
        <v>887</v>
      </c>
      <c r="G228" s="399" t="s">
        <v>1237</v>
      </c>
      <c r="H228" s="399" t="s">
        <v>1237</v>
      </c>
      <c r="I228" s="399" t="s">
        <v>1237</v>
      </c>
      <c r="J228" s="399" t="s">
        <v>2353</v>
      </c>
      <c r="K228" s="789">
        <v>44621</v>
      </c>
      <c r="L228" s="399">
        <v>0</v>
      </c>
      <c r="M228" s="399">
        <v>0</v>
      </c>
      <c r="N228" s="399">
        <v>2.6539999999999999</v>
      </c>
      <c r="O228" s="399">
        <v>2.6539999999999999</v>
      </c>
      <c r="P228" s="399">
        <v>2.6539999999999999</v>
      </c>
      <c r="Q228" s="399">
        <v>2.6539999999999999</v>
      </c>
      <c r="R228" s="399"/>
      <c r="S228" s="399">
        <v>415.98</v>
      </c>
      <c r="T228" s="399">
        <v>215.17</v>
      </c>
      <c r="U228" s="399"/>
      <c r="V228" s="399">
        <v>1675.0720999999999</v>
      </c>
      <c r="W228" s="399">
        <v>1675.0720999999999</v>
      </c>
      <c r="X228" s="399">
        <v>1455.8251599999999</v>
      </c>
      <c r="Y228" s="399">
        <v>0</v>
      </c>
      <c r="Z228" s="399">
        <v>162.12383134197282</v>
      </c>
      <c r="AA228" s="399">
        <v>0</v>
      </c>
      <c r="AB228" s="399">
        <v>0</v>
      </c>
      <c r="AC228" s="399">
        <v>0</v>
      </c>
      <c r="AD228" s="399">
        <v>237.04354243313514</v>
      </c>
      <c r="AE228" s="399">
        <v>670.95904522866738</v>
      </c>
      <c r="AF228" s="399">
        <v>559.36218234969033</v>
      </c>
      <c r="AG228" s="399">
        <v>11.696110150428453</v>
      </c>
      <c r="AH228" s="399">
        <v>0</v>
      </c>
      <c r="AI228" s="399">
        <v>0</v>
      </c>
      <c r="AJ228" s="399">
        <v>0</v>
      </c>
      <c r="AK228" s="399">
        <v>0</v>
      </c>
      <c r="AL228" s="399">
        <v>25.052290632513909</v>
      </c>
      <c r="AM228" s="399"/>
      <c r="AN228" s="399">
        <v>3.1248129088424479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5.7112342777146905</v>
      </c>
      <c r="BH228" s="399">
        <v>0</v>
      </c>
      <c r="BI228" s="399">
        <v>0</v>
      </c>
      <c r="BJ228" s="399">
        <v>0</v>
      </c>
      <c r="BK228" s="399">
        <v>886.54</v>
      </c>
      <c r="BL228" s="399">
        <v>18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565.07341662740498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1453.6309999999999</v>
      </c>
      <c r="CJ228" s="399">
        <v>-221.47109999999998</v>
      </c>
      <c r="CK228" s="399"/>
      <c r="CL228" s="399"/>
      <c r="CM228" s="399"/>
      <c r="CN228" s="399"/>
      <c r="CO228" s="399">
        <v>-291.38266000000004</v>
      </c>
      <c r="CP228" s="399">
        <v>72.13572000000002</v>
      </c>
      <c r="CQ228" s="399">
        <v>31</v>
      </c>
      <c r="CR228" s="399">
        <v>75.145073972921182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9.8662694625416805</v>
      </c>
      <c r="DA228" s="399">
        <v>0</v>
      </c>
      <c r="DB228" s="399">
        <v>0</v>
      </c>
      <c r="DC228" s="399">
        <v>72.134353400082659</v>
      </c>
      <c r="DD228" s="399">
        <v>0</v>
      </c>
      <c r="DE228" s="399">
        <v>0</v>
      </c>
      <c r="DF228" s="399">
        <v>0</v>
      </c>
      <c r="DG228" s="399">
        <v>0.73651062717320848</v>
      </c>
      <c r="DH228" s="399">
        <v>0</v>
      </c>
      <c r="DI228" s="399">
        <v>-6.5917924340303102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-0.79655107288618154</v>
      </c>
      <c r="DP228" s="399">
        <v>-0.20371600996000216</v>
      </c>
      <c r="DQ228" s="399">
        <v>0</v>
      </c>
      <c r="DR228" s="399">
        <v>0</v>
      </c>
      <c r="DS228" s="399"/>
      <c r="DT228" s="399"/>
      <c r="DU228" s="399"/>
      <c r="DV228" s="399">
        <v>670.95904522866738</v>
      </c>
      <c r="DW228" s="399">
        <v>0</v>
      </c>
      <c r="DX228" s="399">
        <v>0</v>
      </c>
      <c r="DY228" s="399">
        <v>-291.38265999999999</v>
      </c>
      <c r="DZ228" s="399">
        <v>72.135719999999992</v>
      </c>
      <c r="EA228" s="399">
        <v>0</v>
      </c>
      <c r="EB228" s="399">
        <v>0</v>
      </c>
      <c r="EC228" s="399">
        <v>-294.39824777249947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216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954</v>
      </c>
      <c r="C229" s="399" t="s">
        <v>2352</v>
      </c>
      <c r="D229" s="399" t="s">
        <v>1821</v>
      </c>
      <c r="E229" s="399" t="s">
        <v>887</v>
      </c>
      <c r="F229" s="399" t="s">
        <v>2356</v>
      </c>
      <c r="G229" s="399" t="s">
        <v>1237</v>
      </c>
      <c r="H229" s="399" t="s">
        <v>1237</v>
      </c>
      <c r="I229" s="399" t="s">
        <v>1237</v>
      </c>
      <c r="J229" s="399" t="s">
        <v>2353</v>
      </c>
      <c r="K229" s="789">
        <v>44621</v>
      </c>
      <c r="L229" s="399">
        <v>0</v>
      </c>
      <c r="M229" s="399">
        <v>0</v>
      </c>
      <c r="N229" s="399">
        <v>7.2</v>
      </c>
      <c r="O229" s="399">
        <v>7.2</v>
      </c>
      <c r="P229" s="399">
        <v>7.2</v>
      </c>
      <c r="Q229" s="399">
        <v>7.2</v>
      </c>
      <c r="R229" s="399"/>
      <c r="S229" s="399">
        <v>345.46</v>
      </c>
      <c r="T229" s="399">
        <v>215.17</v>
      </c>
      <c r="U229" s="399"/>
      <c r="V229" s="399">
        <v>4036.5360000000001</v>
      </c>
      <c r="W229" s="399">
        <v>4036.5360000000001</v>
      </c>
      <c r="X229" s="399">
        <v>3461.76</v>
      </c>
      <c r="Y229" s="399">
        <v>0</v>
      </c>
      <c r="Z229" s="399">
        <v>0</v>
      </c>
      <c r="AA229" s="399">
        <v>0</v>
      </c>
      <c r="AB229" s="399">
        <v>0</v>
      </c>
      <c r="AC229" s="399">
        <v>0</v>
      </c>
      <c r="AD229" s="399">
        <v>643.07215731671931</v>
      </c>
      <c r="AE229" s="399">
        <v>1820.235540936852</v>
      </c>
      <c r="AF229" s="399">
        <v>1517.4859506095593</v>
      </c>
      <c r="AG229" s="399">
        <v>31.730215931833033</v>
      </c>
      <c r="AH229" s="399">
        <v>0</v>
      </c>
      <c r="AI229" s="399">
        <v>0</v>
      </c>
      <c r="AJ229" s="399">
        <v>0</v>
      </c>
      <c r="AK229" s="399">
        <v>0</v>
      </c>
      <c r="AL229" s="399">
        <v>0</v>
      </c>
      <c r="AM229" s="399"/>
      <c r="AN229" s="399">
        <v>8.4772618476509525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15.493928711207904</v>
      </c>
      <c r="BH229" s="399">
        <v>0</v>
      </c>
      <c r="BI229" s="399">
        <v>0</v>
      </c>
      <c r="BJ229" s="399">
        <v>0</v>
      </c>
      <c r="BK229" s="399">
        <v>163.19999999999999</v>
      </c>
      <c r="BL229" s="399">
        <v>12</v>
      </c>
      <c r="BM229" s="399"/>
      <c r="BN229" s="399"/>
      <c r="BO229" s="399"/>
      <c r="BP229" s="399"/>
      <c r="BQ229" s="399"/>
      <c r="BR229" s="399"/>
      <c r="BS229" s="399"/>
      <c r="BT229" s="399">
        <v>2250.1440000000002</v>
      </c>
      <c r="BU229" s="399"/>
      <c r="BV229" s="399">
        <v>1532.9798793207672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1211.616</v>
      </c>
      <c r="CJ229" s="399">
        <v>-201.19800000000009</v>
      </c>
      <c r="CK229" s="399"/>
      <c r="CL229" s="399"/>
      <c r="CM229" s="399"/>
      <c r="CN229" s="399"/>
      <c r="CO229" s="399">
        <v>-770.47199999999998</v>
      </c>
      <c r="CP229" s="399">
        <v>195.69600000000005</v>
      </c>
      <c r="CQ229" s="399">
        <v>31</v>
      </c>
      <c r="CR229" s="399">
        <v>223.9037701035536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26.766066364092012</v>
      </c>
      <c r="DA229" s="399">
        <v>0</v>
      </c>
      <c r="DB229" s="399">
        <v>0</v>
      </c>
      <c r="DC229" s="399">
        <v>195.69229256993049</v>
      </c>
      <c r="DD229" s="399">
        <v>0</v>
      </c>
      <c r="DE229" s="399">
        <v>0</v>
      </c>
      <c r="DF229" s="399">
        <v>0</v>
      </c>
      <c r="DG229" s="399">
        <v>1.9980695236047872</v>
      </c>
      <c r="DH229" s="399">
        <v>0</v>
      </c>
      <c r="DI229" s="399">
        <v>0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0</v>
      </c>
      <c r="DP229" s="399">
        <v>-0.55265835407385744</v>
      </c>
      <c r="DQ229" s="399">
        <v>0</v>
      </c>
      <c r="DR229" s="399">
        <v>0</v>
      </c>
      <c r="DS229" s="399"/>
      <c r="DT229" s="399"/>
      <c r="DU229" s="399"/>
      <c r="DV229" s="399">
        <v>1820.235540936852</v>
      </c>
      <c r="DW229" s="399">
        <v>0</v>
      </c>
      <c r="DX229" s="399">
        <v>0</v>
      </c>
      <c r="DY229" s="399">
        <v>-770.47199999999998</v>
      </c>
      <c r="DZ229" s="399">
        <v>195.69600000000014</v>
      </c>
      <c r="EA229" s="399">
        <v>0</v>
      </c>
      <c r="EB229" s="399">
        <v>0</v>
      </c>
      <c r="EC229" s="399">
        <v>-798.66894648153584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216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954</v>
      </c>
      <c r="C230" s="399" t="s">
        <v>2352</v>
      </c>
      <c r="D230" s="399" t="s">
        <v>1821</v>
      </c>
      <c r="E230" s="399" t="s">
        <v>887</v>
      </c>
      <c r="F230" s="399" t="s">
        <v>2357</v>
      </c>
      <c r="G230" s="399" t="s">
        <v>1237</v>
      </c>
      <c r="H230" s="399" t="s">
        <v>1237</v>
      </c>
      <c r="I230" s="399" t="s">
        <v>1237</v>
      </c>
      <c r="J230" s="399" t="s">
        <v>2353</v>
      </c>
      <c r="K230" s="789">
        <v>44621</v>
      </c>
      <c r="L230" s="399">
        <v>0</v>
      </c>
      <c r="M230" s="399">
        <v>0</v>
      </c>
      <c r="N230" s="399">
        <v>14.694000000000001</v>
      </c>
      <c r="O230" s="399">
        <v>14.694000000000001</v>
      </c>
      <c r="P230" s="399">
        <v>14.694000000000001</v>
      </c>
      <c r="Q230" s="399">
        <v>14.694000000000001</v>
      </c>
      <c r="R230" s="399"/>
      <c r="S230" s="399">
        <v>345.46</v>
      </c>
      <c r="T230" s="399">
        <v>215.17</v>
      </c>
      <c r="U230" s="399"/>
      <c r="V230" s="399">
        <v>8237.8972199999989</v>
      </c>
      <c r="W230" s="399">
        <v>8237.8972199999989</v>
      </c>
      <c r="X230" s="399">
        <v>7064.8752000000004</v>
      </c>
      <c r="Y230" s="399">
        <v>0</v>
      </c>
      <c r="Z230" s="399">
        <v>0</v>
      </c>
      <c r="AA230" s="399">
        <v>0</v>
      </c>
      <c r="AB230" s="399">
        <v>0</v>
      </c>
      <c r="AC230" s="399">
        <v>0</v>
      </c>
      <c r="AD230" s="399">
        <v>1312.4030943905379</v>
      </c>
      <c r="AE230" s="399">
        <v>3714.797366461959</v>
      </c>
      <c r="AF230" s="399">
        <v>3096.9359108690091</v>
      </c>
      <c r="AG230" s="399">
        <v>64.756082347549253</v>
      </c>
      <c r="AH230" s="399">
        <v>0</v>
      </c>
      <c r="AI230" s="399">
        <v>0</v>
      </c>
      <c r="AJ230" s="399">
        <v>0</v>
      </c>
      <c r="AK230" s="399">
        <v>0</v>
      </c>
      <c r="AL230" s="399">
        <v>0</v>
      </c>
      <c r="AM230" s="399"/>
      <c r="AN230" s="399">
        <v>17.300678554080985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31.620526178123466</v>
      </c>
      <c r="BH230" s="399">
        <v>0</v>
      </c>
      <c r="BI230" s="399">
        <v>0</v>
      </c>
      <c r="BJ230" s="399">
        <v>0</v>
      </c>
      <c r="BK230" s="399">
        <v>577.37</v>
      </c>
      <c r="BL230" s="399">
        <v>44</v>
      </c>
      <c r="BM230" s="399"/>
      <c r="BN230" s="399"/>
      <c r="BO230" s="399"/>
      <c r="BP230" s="399"/>
      <c r="BQ230" s="399"/>
      <c r="BR230" s="399"/>
      <c r="BS230" s="399"/>
      <c r="BT230" s="399">
        <v>2825.9500800000001</v>
      </c>
      <c r="BU230" s="399"/>
      <c r="BV230" s="399">
        <v>3128.5564370471325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4237.7711999999992</v>
      </c>
      <c r="CJ230" s="399">
        <v>-704.87958000000162</v>
      </c>
      <c r="CK230" s="399"/>
      <c r="CL230" s="399"/>
      <c r="CM230" s="399"/>
      <c r="CN230" s="399"/>
      <c r="CO230" s="399">
        <v>-1572.4049399999999</v>
      </c>
      <c r="CP230" s="399">
        <v>399.38292000000013</v>
      </c>
      <c r="CQ230" s="399">
        <v>31</v>
      </c>
      <c r="CR230" s="399">
        <v>456.95027748633584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54.625080438051327</v>
      </c>
      <c r="DA230" s="399">
        <v>0</v>
      </c>
      <c r="DB230" s="399">
        <v>0</v>
      </c>
      <c r="DC230" s="399">
        <v>399.37535375313291</v>
      </c>
      <c r="DD230" s="399">
        <v>0</v>
      </c>
      <c r="DE230" s="399">
        <v>0</v>
      </c>
      <c r="DF230" s="399">
        <v>0</v>
      </c>
      <c r="DG230" s="399">
        <v>4.077726886090101</v>
      </c>
      <c r="DH230" s="399">
        <v>0</v>
      </c>
      <c r="DI230" s="399">
        <v>0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0</v>
      </c>
      <c r="DP230" s="399">
        <v>-1.1278835909390637</v>
      </c>
      <c r="DQ230" s="399">
        <v>0</v>
      </c>
      <c r="DR230" s="399">
        <v>0</v>
      </c>
      <c r="DS230" s="399"/>
      <c r="DT230" s="399"/>
      <c r="DU230" s="399"/>
      <c r="DV230" s="399">
        <v>3714.797366461959</v>
      </c>
      <c r="DW230" s="399">
        <v>0</v>
      </c>
      <c r="DX230" s="399">
        <v>0</v>
      </c>
      <c r="DY230" s="399">
        <v>-1572.4049399999994</v>
      </c>
      <c r="DZ230" s="399">
        <v>399.38292000000001</v>
      </c>
      <c r="EA230" s="399">
        <v>0</v>
      </c>
      <c r="EB230" s="399">
        <v>0</v>
      </c>
      <c r="EC230" s="399">
        <v>-1629.9502082777349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216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2354</v>
      </c>
      <c r="C231" s="399" t="s">
        <v>2352</v>
      </c>
      <c r="D231" s="399" t="s">
        <v>1821</v>
      </c>
      <c r="E231" s="399" t="s">
        <v>887</v>
      </c>
      <c r="F231" s="399" t="s">
        <v>2357</v>
      </c>
      <c r="G231" s="399" t="s">
        <v>1237</v>
      </c>
      <c r="H231" s="399" t="s">
        <v>1237</v>
      </c>
      <c r="I231" s="399" t="s">
        <v>1237</v>
      </c>
      <c r="J231" s="399" t="s">
        <v>2353</v>
      </c>
      <c r="K231" s="789">
        <v>44621</v>
      </c>
      <c r="L231" s="399">
        <v>0</v>
      </c>
      <c r="M231" s="399">
        <v>0</v>
      </c>
      <c r="N231" s="399">
        <v>-5.0000000000000001E-3</v>
      </c>
      <c r="O231" s="399">
        <v>-5.0000000000000001E-3</v>
      </c>
      <c r="P231" s="399">
        <v>-5.0000000000000001E-3</v>
      </c>
      <c r="Q231" s="399">
        <v>-5.0000000000000001E-3</v>
      </c>
      <c r="R231" s="399"/>
      <c r="S231" s="399">
        <v>345.46</v>
      </c>
      <c r="T231" s="399">
        <v>215.17</v>
      </c>
      <c r="U231" s="399"/>
      <c r="V231" s="399">
        <v>-2.8031499999999996</v>
      </c>
      <c r="W231" s="399">
        <v>-2.8031499999999996</v>
      </c>
      <c r="X231" s="399">
        <v>-2.4039999999999999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-0.4465778870254995</v>
      </c>
      <c r="AE231" s="399">
        <v>-1.264052458983925</v>
      </c>
      <c r="AF231" s="399">
        <v>-1.053809687923305</v>
      </c>
      <c r="AG231" s="399">
        <v>-2.2034872174884052E-2</v>
      </c>
      <c r="AH231" s="399">
        <v>0</v>
      </c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-5.8869873942020501E-3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-1.07596727161166E-2</v>
      </c>
      <c r="BH231" s="399">
        <v>0</v>
      </c>
      <c r="BI231" s="399">
        <v>0</v>
      </c>
      <c r="BJ231" s="399">
        <v>0</v>
      </c>
      <c r="BK231" s="399">
        <v>-0.06</v>
      </c>
      <c r="BL231" s="399">
        <v>0</v>
      </c>
      <c r="BM231" s="399"/>
      <c r="BN231" s="399"/>
      <c r="BO231" s="399"/>
      <c r="BP231" s="399"/>
      <c r="BQ231" s="399"/>
      <c r="BR231" s="399"/>
      <c r="BS231" s="399"/>
      <c r="BT231" s="399">
        <v>-0.96160000000000001</v>
      </c>
      <c r="BU231" s="399"/>
      <c r="BV231" s="399">
        <v>-1.0645693606394215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-2.8847999999999998</v>
      </c>
      <c r="CJ231" s="399">
        <v>-1.2329499999999998</v>
      </c>
      <c r="CK231" s="399"/>
      <c r="CL231" s="399"/>
      <c r="CM231" s="399"/>
      <c r="CN231" s="399"/>
      <c r="CO231" s="399">
        <v>0.53504999999999991</v>
      </c>
      <c r="CP231" s="399">
        <v>-0.13590000000000005</v>
      </c>
      <c r="CQ231" s="399">
        <v>31</v>
      </c>
      <c r="CR231" s="399">
        <v>-0.15548872923857893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-1.8587546086175022E-2</v>
      </c>
      <c r="DA231" s="399">
        <v>0</v>
      </c>
      <c r="DB231" s="399">
        <v>0</v>
      </c>
      <c r="DC231" s="399">
        <v>-0.13589742539578498</v>
      </c>
      <c r="DD231" s="399">
        <v>0</v>
      </c>
      <c r="DE231" s="399">
        <v>0</v>
      </c>
      <c r="DF231" s="399">
        <v>0</v>
      </c>
      <c r="DG231" s="399">
        <v>-1.387548280281101E-3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0</v>
      </c>
      <c r="DP231" s="399">
        <v>3.8379052366240094E-4</v>
      </c>
      <c r="DQ231" s="399">
        <v>0</v>
      </c>
      <c r="DR231" s="399">
        <v>0</v>
      </c>
      <c r="DS231" s="399"/>
      <c r="DT231" s="399"/>
      <c r="DU231" s="399"/>
      <c r="DV231" s="399">
        <v>-1.264052458983925</v>
      </c>
      <c r="DW231" s="399">
        <v>0</v>
      </c>
      <c r="DX231" s="399">
        <v>0</v>
      </c>
      <c r="DY231" s="399">
        <v>0.5350499999999998</v>
      </c>
      <c r="DZ231" s="399">
        <v>-0.13590000000000013</v>
      </c>
      <c r="EA231" s="399">
        <v>0</v>
      </c>
      <c r="EB231" s="399">
        <v>0</v>
      </c>
      <c r="EC231" s="399">
        <v>0.55463121283439998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216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954</v>
      </c>
      <c r="C232" s="399" t="s">
        <v>2352</v>
      </c>
      <c r="D232" s="399" t="s">
        <v>1821</v>
      </c>
      <c r="E232" s="399" t="s">
        <v>887</v>
      </c>
      <c r="F232" s="399" t="s">
        <v>2358</v>
      </c>
      <c r="G232" s="399" t="s">
        <v>1237</v>
      </c>
      <c r="H232" s="399" t="s">
        <v>1237</v>
      </c>
      <c r="I232" s="399" t="s">
        <v>1237</v>
      </c>
      <c r="J232" s="399" t="s">
        <v>2353</v>
      </c>
      <c r="K232" s="789">
        <v>44621</v>
      </c>
      <c r="L232" s="399">
        <v>0</v>
      </c>
      <c r="M232" s="399">
        <v>0</v>
      </c>
      <c r="N232" s="399">
        <v>14.22</v>
      </c>
      <c r="O232" s="399">
        <v>14.22</v>
      </c>
      <c r="P232" s="399">
        <v>14.22</v>
      </c>
      <c r="Q232" s="399">
        <v>14.22</v>
      </c>
      <c r="R232" s="399"/>
      <c r="S232" s="399">
        <v>345.46</v>
      </c>
      <c r="T232" s="399">
        <v>215.17</v>
      </c>
      <c r="U232" s="399"/>
      <c r="V232" s="399">
        <v>7972.1586000000007</v>
      </c>
      <c r="W232" s="399">
        <v>7972.1586000000007</v>
      </c>
      <c r="X232" s="399">
        <v>6836.9760000000006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1270.0675107005206</v>
      </c>
      <c r="AE232" s="399">
        <v>3594.9651933502828</v>
      </c>
      <c r="AF232" s="399">
        <v>2997.0347524538797</v>
      </c>
      <c r="AG232" s="399">
        <v>62.66717646537024</v>
      </c>
      <c r="AH232" s="399">
        <v>0</v>
      </c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16.742592149110632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30.60050920463561</v>
      </c>
      <c r="BH232" s="399">
        <v>0</v>
      </c>
      <c r="BI232" s="399">
        <v>0</v>
      </c>
      <c r="BJ232" s="399">
        <v>0</v>
      </c>
      <c r="BK232" s="399">
        <v>1405.83</v>
      </c>
      <c r="BL232" s="399">
        <v>118</v>
      </c>
      <c r="BM232" s="399"/>
      <c r="BN232" s="399"/>
      <c r="BO232" s="399"/>
      <c r="BP232" s="399"/>
      <c r="BQ232" s="399"/>
      <c r="BR232" s="399"/>
      <c r="BS232" s="399"/>
      <c r="BT232" s="399">
        <v>683.83979999999974</v>
      </c>
      <c r="BU232" s="399"/>
      <c r="BV232" s="399">
        <v>3027.6352616585154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6153.1362000000008</v>
      </c>
      <c r="CJ232" s="399">
        <v>-1021.737000000001</v>
      </c>
      <c r="CK232" s="399"/>
      <c r="CL232" s="399"/>
      <c r="CM232" s="399"/>
      <c r="CN232" s="399"/>
      <c r="CO232" s="399">
        <v>-1521.6822</v>
      </c>
      <c r="CP232" s="399">
        <v>386.4996000000001</v>
      </c>
      <c r="CQ232" s="399">
        <v>31</v>
      </c>
      <c r="CR232" s="399">
        <v>442.20994595451793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52.862981069081798</v>
      </c>
      <c r="DA232" s="399">
        <v>0</v>
      </c>
      <c r="DB232" s="399">
        <v>0</v>
      </c>
      <c r="DC232" s="399">
        <v>386.49227782561229</v>
      </c>
      <c r="DD232" s="399">
        <v>0</v>
      </c>
      <c r="DE232" s="399">
        <v>0</v>
      </c>
      <c r="DF232" s="399">
        <v>0</v>
      </c>
      <c r="DG232" s="399">
        <v>3.9461873091194484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0</v>
      </c>
      <c r="DP232" s="399">
        <v>-1.0915002492958674</v>
      </c>
      <c r="DQ232" s="399">
        <v>0</v>
      </c>
      <c r="DR232" s="399">
        <v>0</v>
      </c>
      <c r="DS232" s="399"/>
      <c r="DT232" s="399"/>
      <c r="DU232" s="399"/>
      <c r="DV232" s="399">
        <v>3594.9651933502828</v>
      </c>
      <c r="DW232" s="399">
        <v>0</v>
      </c>
      <c r="DX232" s="399">
        <v>0</v>
      </c>
      <c r="DY232" s="399">
        <v>-1521.6822000000002</v>
      </c>
      <c r="DZ232" s="399">
        <v>386.4996000000001</v>
      </c>
      <c r="EA232" s="399">
        <v>0</v>
      </c>
      <c r="EB232" s="399">
        <v>0</v>
      </c>
      <c r="EC232" s="399">
        <v>-1577.3711693010334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216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2354</v>
      </c>
      <c r="C233" s="399" t="s">
        <v>2352</v>
      </c>
      <c r="D233" s="399" t="s">
        <v>1821</v>
      </c>
      <c r="E233" s="399" t="s">
        <v>887</v>
      </c>
      <c r="F233" s="399" t="s">
        <v>2358</v>
      </c>
      <c r="G233" s="399" t="s">
        <v>1237</v>
      </c>
      <c r="H233" s="399" t="s">
        <v>1237</v>
      </c>
      <c r="I233" s="399" t="s">
        <v>1237</v>
      </c>
      <c r="J233" s="399" t="s">
        <v>2353</v>
      </c>
      <c r="K233" s="789">
        <v>44621</v>
      </c>
      <c r="L233" s="399">
        <v>0</v>
      </c>
      <c r="M233" s="399">
        <v>0</v>
      </c>
      <c r="N233" s="399">
        <v>-0.14499999999999999</v>
      </c>
      <c r="O233" s="399">
        <v>-0.14499999999999999</v>
      </c>
      <c r="P233" s="399">
        <v>-0.14499999999999999</v>
      </c>
      <c r="Q233" s="399">
        <v>-0.14499999999999999</v>
      </c>
      <c r="R233" s="399"/>
      <c r="S233" s="399">
        <v>345.46</v>
      </c>
      <c r="T233" s="399">
        <v>215.17</v>
      </c>
      <c r="U233" s="399"/>
      <c r="V233" s="399">
        <v>-81.291349999999994</v>
      </c>
      <c r="W233" s="399">
        <v>-81.291349999999994</v>
      </c>
      <c r="X233" s="399">
        <v>-69.715999999999994</v>
      </c>
      <c r="Y233" s="399">
        <v>0</v>
      </c>
      <c r="Z233" s="399">
        <v>0</v>
      </c>
      <c r="AA233" s="399">
        <v>0</v>
      </c>
      <c r="AB233" s="399">
        <v>0</v>
      </c>
      <c r="AC233" s="399">
        <v>0</v>
      </c>
      <c r="AD233" s="399">
        <v>-12.950758723739485</v>
      </c>
      <c r="AE233" s="399">
        <v>-36.657521310533824</v>
      </c>
      <c r="AF233" s="399">
        <v>-30.560480949775844</v>
      </c>
      <c r="AG233" s="399">
        <v>-0.6390112930716374</v>
      </c>
      <c r="AH233" s="399">
        <v>0</v>
      </c>
      <c r="AI233" s="399">
        <v>0</v>
      </c>
      <c r="AJ233" s="399">
        <v>0</v>
      </c>
      <c r="AK233" s="399">
        <v>0</v>
      </c>
      <c r="AL233" s="399">
        <v>0</v>
      </c>
      <c r="AM233" s="399"/>
      <c r="AN233" s="399">
        <v>-0.17072263443185945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-0.31203050876738136</v>
      </c>
      <c r="BH233" s="399">
        <v>0</v>
      </c>
      <c r="BI233" s="399">
        <v>0</v>
      </c>
      <c r="BJ233" s="399">
        <v>0</v>
      </c>
      <c r="BK233" s="399">
        <v>-18.329999999999998</v>
      </c>
      <c r="BL233" s="399">
        <v>0</v>
      </c>
      <c r="BM233" s="399"/>
      <c r="BN233" s="399"/>
      <c r="BO233" s="399"/>
      <c r="BP233" s="399"/>
      <c r="BQ233" s="399"/>
      <c r="BR233" s="399"/>
      <c r="BS233" s="399"/>
      <c r="BT233" s="399">
        <v>-6.9730499999999962</v>
      </c>
      <c r="BU233" s="399"/>
      <c r="BV233" s="399">
        <v>-30.872511458543226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-64.906499999999994</v>
      </c>
      <c r="CJ233" s="399">
        <v>8.2246999999999986</v>
      </c>
      <c r="CK233" s="399"/>
      <c r="CL233" s="399"/>
      <c r="CM233" s="399"/>
      <c r="CN233" s="399"/>
      <c r="CO233" s="399">
        <v>15.516449999999997</v>
      </c>
      <c r="CP233" s="399">
        <v>-3.9411000000000009</v>
      </c>
      <c r="CQ233" s="399">
        <v>31</v>
      </c>
      <c r="CR233" s="399">
        <v>-4.5091731479187729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-0.53903883649907591</v>
      </c>
      <c r="DA233" s="399">
        <v>0</v>
      </c>
      <c r="DB233" s="399">
        <v>0</v>
      </c>
      <c r="DC233" s="399">
        <v>-3.9410253364777645</v>
      </c>
      <c r="DD233" s="399">
        <v>0</v>
      </c>
      <c r="DE233" s="399">
        <v>0</v>
      </c>
      <c r="DF233" s="399">
        <v>0</v>
      </c>
      <c r="DG233" s="399">
        <v>-4.0238900128151955E-2</v>
      </c>
      <c r="DH233" s="399">
        <v>0</v>
      </c>
      <c r="DI233" s="399">
        <v>0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0</v>
      </c>
      <c r="DP233" s="399">
        <v>1.1129925186209616E-2</v>
      </c>
      <c r="DQ233" s="399">
        <v>0</v>
      </c>
      <c r="DR233" s="399">
        <v>0</v>
      </c>
      <c r="DS233" s="399"/>
      <c r="DT233" s="399"/>
      <c r="DU233" s="399"/>
      <c r="DV233" s="399">
        <v>-36.657521310533824</v>
      </c>
      <c r="DW233" s="399">
        <v>0</v>
      </c>
      <c r="DX233" s="399">
        <v>0</v>
      </c>
      <c r="DY233" s="399">
        <v>15.516449999999999</v>
      </c>
      <c r="DZ233" s="399">
        <v>-3.9411000000000023</v>
      </c>
      <c r="EA233" s="399">
        <v>0</v>
      </c>
      <c r="EB233" s="399">
        <v>0</v>
      </c>
      <c r="EC233" s="399">
        <v>16.084305172197599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216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954</v>
      </c>
      <c r="C234" s="399" t="s">
        <v>2352</v>
      </c>
      <c r="D234" s="399" t="s">
        <v>1821</v>
      </c>
      <c r="E234" s="399" t="s">
        <v>887</v>
      </c>
      <c r="F234" s="399" t="s">
        <v>2359</v>
      </c>
      <c r="G234" s="399" t="s">
        <v>1237</v>
      </c>
      <c r="H234" s="399" t="s">
        <v>1237</v>
      </c>
      <c r="I234" s="399" t="s">
        <v>1237</v>
      </c>
      <c r="J234" s="399" t="s">
        <v>2353</v>
      </c>
      <c r="K234" s="789">
        <v>44621</v>
      </c>
      <c r="L234" s="399">
        <v>0</v>
      </c>
      <c r="M234" s="399">
        <v>0</v>
      </c>
      <c r="N234" s="399">
        <v>5.7759999999999998</v>
      </c>
      <c r="O234" s="399">
        <v>5.7759999999999998</v>
      </c>
      <c r="P234" s="399">
        <v>5.7759999999999998</v>
      </c>
      <c r="Q234" s="399">
        <v>5.7759999999999998</v>
      </c>
      <c r="R234" s="399"/>
      <c r="S234" s="399">
        <v>345.46</v>
      </c>
      <c r="T234" s="399">
        <v>215.17</v>
      </c>
      <c r="U234" s="399"/>
      <c r="V234" s="399">
        <v>3238.1988799999999</v>
      </c>
      <c r="W234" s="399">
        <v>3238.1988799999999</v>
      </c>
      <c r="X234" s="399">
        <v>2777.1008000000002</v>
      </c>
      <c r="Y234" s="399">
        <v>0</v>
      </c>
      <c r="Z234" s="399">
        <v>0</v>
      </c>
      <c r="AA234" s="399">
        <v>0</v>
      </c>
      <c r="AB234" s="399">
        <v>0</v>
      </c>
      <c r="AC234" s="399">
        <v>0</v>
      </c>
      <c r="AD234" s="399">
        <v>515.88677509185698</v>
      </c>
      <c r="AE234" s="399">
        <v>1460.23340061823</v>
      </c>
      <c r="AF234" s="399">
        <v>1217.360951489002</v>
      </c>
      <c r="AG234" s="399">
        <v>25.454684336426055</v>
      </c>
      <c r="AH234" s="399">
        <v>0</v>
      </c>
      <c r="AI234" s="399">
        <v>0</v>
      </c>
      <c r="AJ234" s="399">
        <v>0</v>
      </c>
      <c r="AK234" s="399">
        <v>0</v>
      </c>
      <c r="AL234" s="399">
        <v>0</v>
      </c>
      <c r="AM234" s="399"/>
      <c r="AN234" s="399">
        <v>6.8006478377822077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12.429573921657894</v>
      </c>
      <c r="BH234" s="399">
        <v>0</v>
      </c>
      <c r="BI234" s="399">
        <v>0</v>
      </c>
      <c r="BJ234" s="399">
        <v>0</v>
      </c>
      <c r="BK234" s="399">
        <v>925.57</v>
      </c>
      <c r="BL234" s="399">
        <v>66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1229.7905254106599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2779.0240000000003</v>
      </c>
      <c r="CJ234" s="399">
        <v>-459.20487999999932</v>
      </c>
      <c r="CK234" s="399"/>
      <c r="CL234" s="399"/>
      <c r="CM234" s="399"/>
      <c r="CN234" s="399"/>
      <c r="CO234" s="399">
        <v>-618.08975999999996</v>
      </c>
      <c r="CP234" s="399">
        <v>156.99168000000003</v>
      </c>
      <c r="CQ234" s="399">
        <v>31</v>
      </c>
      <c r="CR234" s="399">
        <v>179.62058001640594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21.472333238749457</v>
      </c>
      <c r="DA234" s="399">
        <v>0</v>
      </c>
      <c r="DB234" s="399">
        <v>0</v>
      </c>
      <c r="DC234" s="399">
        <v>156.98870581721076</v>
      </c>
      <c r="DD234" s="399">
        <v>0</v>
      </c>
      <c r="DE234" s="399">
        <v>0</v>
      </c>
      <c r="DF234" s="399">
        <v>0</v>
      </c>
      <c r="DG234" s="399">
        <v>1.6028957733807285</v>
      </c>
      <c r="DH234" s="399">
        <v>0</v>
      </c>
      <c r="DI234" s="399">
        <v>0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0</v>
      </c>
      <c r="DP234" s="399">
        <v>-0.44335481293480505</v>
      </c>
      <c r="DQ234" s="399">
        <v>0</v>
      </c>
      <c r="DR234" s="399">
        <v>0</v>
      </c>
      <c r="DS234" s="399"/>
      <c r="DT234" s="399"/>
      <c r="DU234" s="399"/>
      <c r="DV234" s="399">
        <v>1460.23340061823</v>
      </c>
      <c r="DW234" s="399">
        <v>0</v>
      </c>
      <c r="DX234" s="399">
        <v>0</v>
      </c>
      <c r="DY234" s="399">
        <v>-618.08975999999984</v>
      </c>
      <c r="DZ234" s="399">
        <v>156.99168000000009</v>
      </c>
      <c r="EA234" s="399">
        <v>0</v>
      </c>
      <c r="EB234" s="399">
        <v>0</v>
      </c>
      <c r="EC234" s="399">
        <v>-640.70997706629873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216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2354</v>
      </c>
      <c r="C235" s="399" t="s">
        <v>2352</v>
      </c>
      <c r="D235" s="399" t="s">
        <v>1821</v>
      </c>
      <c r="E235" s="399" t="s">
        <v>887</v>
      </c>
      <c r="F235" s="399" t="s">
        <v>2359</v>
      </c>
      <c r="G235" s="399" t="s">
        <v>1237</v>
      </c>
      <c r="H235" s="399" t="s">
        <v>1237</v>
      </c>
      <c r="I235" s="399" t="s">
        <v>1237</v>
      </c>
      <c r="J235" s="399" t="s">
        <v>2353</v>
      </c>
      <c r="K235" s="789">
        <v>44621</v>
      </c>
      <c r="L235" s="399">
        <v>0</v>
      </c>
      <c r="M235" s="399">
        <v>0</v>
      </c>
      <c r="N235" s="399">
        <v>-0.21</v>
      </c>
      <c r="O235" s="399">
        <v>-0.21</v>
      </c>
      <c r="P235" s="399">
        <v>-0.21</v>
      </c>
      <c r="Q235" s="399">
        <v>-0.21</v>
      </c>
      <c r="R235" s="399"/>
      <c r="S235" s="399">
        <v>345.46</v>
      </c>
      <c r="T235" s="399">
        <v>215.17</v>
      </c>
      <c r="U235" s="399"/>
      <c r="V235" s="399">
        <v>-117.7323</v>
      </c>
      <c r="W235" s="399">
        <v>-117.7323</v>
      </c>
      <c r="X235" s="399">
        <v>-100.96799999999999</v>
      </c>
      <c r="Y235" s="399">
        <v>0</v>
      </c>
      <c r="Z235" s="399">
        <v>0</v>
      </c>
      <c r="AA235" s="399">
        <v>0</v>
      </c>
      <c r="AB235" s="399">
        <v>0</v>
      </c>
      <c r="AC235" s="399">
        <v>0</v>
      </c>
      <c r="AD235" s="399">
        <v>-18.756271255070978</v>
      </c>
      <c r="AE235" s="399">
        <v>-53.090203277324846</v>
      </c>
      <c r="AF235" s="399">
        <v>-44.260006892778812</v>
      </c>
      <c r="AG235" s="399">
        <v>-0.92546463134513013</v>
      </c>
      <c r="AH235" s="399">
        <v>0</v>
      </c>
      <c r="AI235" s="399">
        <v>0</v>
      </c>
      <c r="AJ235" s="399">
        <v>0</v>
      </c>
      <c r="AK235" s="399">
        <v>0</v>
      </c>
      <c r="AL235" s="399">
        <v>0</v>
      </c>
      <c r="AM235" s="399"/>
      <c r="AN235" s="399">
        <v>-0.24725347055648608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-0.45190625407689716</v>
      </c>
      <c r="BH235" s="399">
        <v>0</v>
      </c>
      <c r="BI235" s="399">
        <v>0</v>
      </c>
      <c r="BJ235" s="399">
        <v>0</v>
      </c>
      <c r="BK235" s="399">
        <v>-50.35</v>
      </c>
      <c r="BL235" s="399">
        <v>0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-44.711913146855707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-100.96799999999999</v>
      </c>
      <c r="CJ235" s="399">
        <v>16.73429999999999</v>
      </c>
      <c r="CK235" s="399"/>
      <c r="CL235" s="399"/>
      <c r="CM235" s="399"/>
      <c r="CN235" s="399"/>
      <c r="CO235" s="399">
        <v>22.472099999999998</v>
      </c>
      <c r="CP235" s="399">
        <v>-5.7078000000000015</v>
      </c>
      <c r="CQ235" s="399">
        <v>31</v>
      </c>
      <c r="CR235" s="399">
        <v>-6.5305266280203114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-0.78067693561935059</v>
      </c>
      <c r="DA235" s="399">
        <v>0</v>
      </c>
      <c r="DB235" s="399">
        <v>0</v>
      </c>
      <c r="DC235" s="399">
        <v>-5.7076918666229659</v>
      </c>
      <c r="DD235" s="399">
        <v>0</v>
      </c>
      <c r="DE235" s="399">
        <v>0</v>
      </c>
      <c r="DF235" s="399">
        <v>0</v>
      </c>
      <c r="DG235" s="399">
        <v>-5.8277027771806267E-2</v>
      </c>
      <c r="DH235" s="399">
        <v>0</v>
      </c>
      <c r="DI235" s="399">
        <v>0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0</v>
      </c>
      <c r="DP235" s="399">
        <v>1.6119201993820803E-2</v>
      </c>
      <c r="DQ235" s="399">
        <v>0</v>
      </c>
      <c r="DR235" s="399">
        <v>0</v>
      </c>
      <c r="DS235" s="399"/>
      <c r="DT235" s="399"/>
      <c r="DU235" s="399"/>
      <c r="DV235" s="399">
        <v>-53.090203277324846</v>
      </c>
      <c r="DW235" s="399">
        <v>0</v>
      </c>
      <c r="DX235" s="399">
        <v>0</v>
      </c>
      <c r="DY235" s="399">
        <v>22.472100000000005</v>
      </c>
      <c r="DZ235" s="399">
        <v>-5.7077999999999989</v>
      </c>
      <c r="EA235" s="399">
        <v>0</v>
      </c>
      <c r="EB235" s="399">
        <v>0</v>
      </c>
      <c r="EC235" s="399">
        <v>23.294510939044795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216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954</v>
      </c>
      <c r="C236" s="399" t="s">
        <v>2352</v>
      </c>
      <c r="D236" s="399" t="s">
        <v>1824</v>
      </c>
      <c r="E236" s="399" t="s">
        <v>888</v>
      </c>
      <c r="F236" s="399" t="s">
        <v>1237</v>
      </c>
      <c r="G236" s="399" t="s">
        <v>1237</v>
      </c>
      <c r="H236" s="399" t="s">
        <v>1237</v>
      </c>
      <c r="I236" s="399" t="s">
        <v>1237</v>
      </c>
      <c r="J236" s="399" t="s">
        <v>2353</v>
      </c>
      <c r="K236" s="789">
        <v>44621</v>
      </c>
      <c r="L236" s="399">
        <v>0</v>
      </c>
      <c r="M236" s="399">
        <v>0</v>
      </c>
      <c r="N236" s="399">
        <v>41.225999999999999</v>
      </c>
      <c r="O236" s="399">
        <v>41.225999999999999</v>
      </c>
      <c r="P236" s="399">
        <v>41.225999999999999</v>
      </c>
      <c r="Q236" s="399">
        <v>41.225999999999999</v>
      </c>
      <c r="R236" s="399"/>
      <c r="S236" s="399">
        <v>415.98</v>
      </c>
      <c r="T236" s="399">
        <v>215.17</v>
      </c>
      <c r="U236" s="399"/>
      <c r="V236" s="399">
        <v>26019.7899</v>
      </c>
      <c r="W236" s="399">
        <v>26019.7899</v>
      </c>
      <c r="X236" s="399">
        <v>22614.11004</v>
      </c>
      <c r="Y236" s="399">
        <v>0</v>
      </c>
      <c r="Z236" s="399">
        <v>2518.3560930309613</v>
      </c>
      <c r="AA236" s="399">
        <v>0</v>
      </c>
      <c r="AB236" s="399">
        <v>0</v>
      </c>
      <c r="AC236" s="399">
        <v>0</v>
      </c>
      <c r="AD236" s="399">
        <v>3682.1239941026483</v>
      </c>
      <c r="AE236" s="399">
        <v>10422.365334814258</v>
      </c>
      <c r="AF236" s="399">
        <v>8688.8716388652356</v>
      </c>
      <c r="AG236" s="399">
        <v>181.68192805635397</v>
      </c>
      <c r="AH236" s="399">
        <v>0</v>
      </c>
      <c r="AI236" s="399">
        <v>0</v>
      </c>
      <c r="AJ236" s="399">
        <v>0</v>
      </c>
      <c r="AK236" s="399">
        <v>0</v>
      </c>
      <c r="AL236" s="399">
        <v>389.15061552977335</v>
      </c>
      <c r="AM236" s="399"/>
      <c r="AN236" s="399">
        <v>48.539388462674744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88.71565347892458</v>
      </c>
      <c r="BH236" s="399">
        <v>0</v>
      </c>
      <c r="BI236" s="399">
        <v>0</v>
      </c>
      <c r="BJ236" s="399">
        <v>0</v>
      </c>
      <c r="BK236" s="399">
        <v>9489.07</v>
      </c>
      <c r="BL236" s="399">
        <v>37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8777.5872923441602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22616.304199999999</v>
      </c>
      <c r="CJ236" s="399">
        <v>-3403.5156999999963</v>
      </c>
      <c r="CK236" s="399"/>
      <c r="CL236" s="399"/>
      <c r="CM236" s="399"/>
      <c r="CN236" s="399"/>
      <c r="CO236" s="399">
        <v>-4526.2025400000011</v>
      </c>
      <c r="CP236" s="399">
        <v>1120.5226800000003</v>
      </c>
      <c r="CQ236" s="399">
        <v>31</v>
      </c>
      <c r="CR236" s="399">
        <v>1167.2685831226954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153.25803498973028</v>
      </c>
      <c r="DA236" s="399">
        <v>0</v>
      </c>
      <c r="DB236" s="399">
        <v>0</v>
      </c>
      <c r="DC236" s="399">
        <v>1120.501451873326</v>
      </c>
      <c r="DD236" s="399">
        <v>0</v>
      </c>
      <c r="DE236" s="399">
        <v>0</v>
      </c>
      <c r="DF236" s="399">
        <v>0</v>
      </c>
      <c r="DG236" s="399">
        <v>11.44061308057374</v>
      </c>
      <c r="DH236" s="399">
        <v>0</v>
      </c>
      <c r="DI236" s="399">
        <v>-102.39383379251467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-12.373253402715079</v>
      </c>
      <c r="DP236" s="399">
        <v>-3.1644296257012243</v>
      </c>
      <c r="DQ236" s="399">
        <v>0</v>
      </c>
      <c r="DR236" s="399">
        <v>0</v>
      </c>
      <c r="DS236" s="399"/>
      <c r="DT236" s="399"/>
      <c r="DU236" s="399"/>
      <c r="DV236" s="399">
        <v>10422.365334814258</v>
      </c>
      <c r="DW236" s="399">
        <v>0</v>
      </c>
      <c r="DX236" s="399">
        <v>0</v>
      </c>
      <c r="DY236" s="399">
        <v>-4526.202540000002</v>
      </c>
      <c r="DZ236" s="399">
        <v>1120.5226800000019</v>
      </c>
      <c r="EA236" s="399">
        <v>0</v>
      </c>
      <c r="EB236" s="399">
        <v>0</v>
      </c>
      <c r="EC236" s="399">
        <v>-4573.0452760621938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216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2355</v>
      </c>
      <c r="C237" s="399" t="s">
        <v>2352</v>
      </c>
      <c r="D237" s="399" t="s">
        <v>1824</v>
      </c>
      <c r="E237" s="399" t="s">
        <v>888</v>
      </c>
      <c r="F237" s="399" t="s">
        <v>1237</v>
      </c>
      <c r="G237" s="399" t="s">
        <v>1237</v>
      </c>
      <c r="H237" s="399" t="s">
        <v>1237</v>
      </c>
      <c r="I237" s="399" t="s">
        <v>1237</v>
      </c>
      <c r="J237" s="399" t="s">
        <v>2353</v>
      </c>
      <c r="K237" s="789">
        <v>44621</v>
      </c>
      <c r="L237" s="399">
        <v>0</v>
      </c>
      <c r="M237" s="399">
        <v>0</v>
      </c>
      <c r="N237" s="399">
        <v>1.58</v>
      </c>
      <c r="O237" s="399">
        <v>1.58</v>
      </c>
      <c r="P237" s="399">
        <v>1.58</v>
      </c>
      <c r="Q237" s="399">
        <v>1.58</v>
      </c>
      <c r="R237" s="399"/>
      <c r="S237" s="399">
        <v>415.98</v>
      </c>
      <c r="T237" s="399">
        <v>215.17</v>
      </c>
      <c r="U237" s="399"/>
      <c r="V237" s="399">
        <v>997.2170000000001</v>
      </c>
      <c r="W237" s="399">
        <v>997.2170000000001</v>
      </c>
      <c r="X237" s="399">
        <v>866.69320000000005</v>
      </c>
      <c r="Y237" s="399">
        <v>0</v>
      </c>
      <c r="Z237" s="399">
        <v>96.516824988815785</v>
      </c>
      <c r="AA237" s="399">
        <v>0</v>
      </c>
      <c r="AB237" s="399">
        <v>0</v>
      </c>
      <c r="AC237" s="399">
        <v>0</v>
      </c>
      <c r="AD237" s="399">
        <v>141.11861230005786</v>
      </c>
      <c r="AE237" s="399">
        <v>399.44057703892031</v>
      </c>
      <c r="AF237" s="399">
        <v>333.00386138376439</v>
      </c>
      <c r="AG237" s="399">
        <v>6.9630196072633606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14.914325244676707</v>
      </c>
      <c r="AM237" s="399"/>
      <c r="AN237" s="399">
        <v>1.8602880165678479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3.4000565782928458</v>
      </c>
      <c r="BH237" s="399">
        <v>0</v>
      </c>
      <c r="BI237" s="399">
        <v>0</v>
      </c>
      <c r="BJ237" s="399">
        <v>0</v>
      </c>
      <c r="BK237" s="399">
        <v>1115.3599999999999</v>
      </c>
      <c r="BL237" s="399">
        <v>3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336.40391796205722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866.69320000000005</v>
      </c>
      <c r="CJ237" s="399">
        <v>-130.55380000000002</v>
      </c>
      <c r="CK237" s="399"/>
      <c r="CL237" s="399"/>
      <c r="CM237" s="399"/>
      <c r="CN237" s="399"/>
      <c r="CO237" s="399">
        <v>-173.46820000000005</v>
      </c>
      <c r="CP237" s="399">
        <v>42.944400000000016</v>
      </c>
      <c r="CQ237" s="399">
        <v>31</v>
      </c>
      <c r="CR237" s="399">
        <v>44.735952101437647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5.8736645632313014</v>
      </c>
      <c r="DA237" s="399">
        <v>0</v>
      </c>
      <c r="DB237" s="399">
        <v>0</v>
      </c>
      <c r="DC237" s="399">
        <v>42.943586425068077</v>
      </c>
      <c r="DD237" s="399">
        <v>0</v>
      </c>
      <c r="DE237" s="399">
        <v>0</v>
      </c>
      <c r="DF237" s="399">
        <v>0</v>
      </c>
      <c r="DG237" s="399">
        <v>0.43846525656882784</v>
      </c>
      <c r="DH237" s="399">
        <v>0</v>
      </c>
      <c r="DI237" s="399">
        <v>-3.924277334501852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-0.47420900345145789</v>
      </c>
      <c r="DP237" s="399">
        <v>-0.1212778054773187</v>
      </c>
      <c r="DQ237" s="399">
        <v>0</v>
      </c>
      <c r="DR237" s="399">
        <v>0</v>
      </c>
      <c r="DS237" s="399"/>
      <c r="DT237" s="399"/>
      <c r="DU237" s="399"/>
      <c r="DV237" s="399">
        <v>399.44057703892031</v>
      </c>
      <c r="DW237" s="399">
        <v>0</v>
      </c>
      <c r="DX237" s="399">
        <v>0</v>
      </c>
      <c r="DY237" s="399">
        <v>-173.46820000000002</v>
      </c>
      <c r="DZ237" s="399">
        <v>42.94440000000003</v>
      </c>
      <c r="EA237" s="399">
        <v>0</v>
      </c>
      <c r="EB237" s="399">
        <v>0</v>
      </c>
      <c r="EC237" s="399">
        <v>-175.26346325567039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216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954</v>
      </c>
      <c r="C238" s="399" t="s">
        <v>2360</v>
      </c>
      <c r="D238" s="399" t="s">
        <v>533</v>
      </c>
      <c r="E238" s="399" t="s">
        <v>888</v>
      </c>
      <c r="F238" s="399" t="s">
        <v>1237</v>
      </c>
      <c r="G238" s="399" t="s">
        <v>1237</v>
      </c>
      <c r="H238" s="399" t="s">
        <v>1237</v>
      </c>
      <c r="I238" s="399" t="s">
        <v>891</v>
      </c>
      <c r="J238" s="399" t="s">
        <v>2353</v>
      </c>
      <c r="K238" s="789">
        <v>44621</v>
      </c>
      <c r="L238" s="399">
        <v>0</v>
      </c>
      <c r="M238" s="399">
        <v>0</v>
      </c>
      <c r="N238" s="399">
        <v>138.72399999999999</v>
      </c>
      <c r="O238" s="399">
        <v>138.72399999999999</v>
      </c>
      <c r="P238" s="399">
        <v>138.72399999999999</v>
      </c>
      <c r="Q238" s="399">
        <v>138.72399999999999</v>
      </c>
      <c r="R238" s="399"/>
      <c r="S238" s="399">
        <v>2184.0300000000002</v>
      </c>
      <c r="T238" s="399">
        <v>215.17</v>
      </c>
      <c r="U238" s="399"/>
      <c r="V238" s="399">
        <v>332826.62079999998</v>
      </c>
      <c r="W238" s="399">
        <v>332826.62079999998</v>
      </c>
      <c r="X238" s="399">
        <v>251144.54235999996</v>
      </c>
      <c r="Y238" s="399">
        <v>0</v>
      </c>
      <c r="Z238" s="399">
        <v>7372.5341935956721</v>
      </c>
      <c r="AA238" s="399">
        <v>0</v>
      </c>
      <c r="AB238" s="399">
        <v>0</v>
      </c>
      <c r="AC238" s="399">
        <v>0</v>
      </c>
      <c r="AD238" s="399">
        <v>91418.320577828461</v>
      </c>
      <c r="AE238" s="399">
        <v>202665.78642618156</v>
      </c>
      <c r="AF238" s="399">
        <v>29237.739029494511</v>
      </c>
      <c r="AG238" s="399">
        <v>611.35312151772291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1309.4777564826147</v>
      </c>
      <c r="AM238" s="399"/>
      <c r="AN238" s="399">
        <v>95.701892960358791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115.25898512257724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29352.998014617089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251137.30079999997</v>
      </c>
      <c r="CJ238" s="399">
        <v>-81689.350000000035</v>
      </c>
      <c r="CK238" s="399"/>
      <c r="CL238" s="399"/>
      <c r="CM238" s="399"/>
      <c r="CN238" s="399"/>
      <c r="CO238" s="399">
        <v>-85452.596760000029</v>
      </c>
      <c r="CP238" s="399">
        <v>3770.5183200000006</v>
      </c>
      <c r="CQ238" s="399">
        <v>31</v>
      </c>
      <c r="CR238" s="399">
        <v>7242.7059633512981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3805.0299762470677</v>
      </c>
      <c r="DA238" s="399">
        <v>0</v>
      </c>
      <c r="DB238" s="399">
        <v>0</v>
      </c>
      <c r="DC238" s="399">
        <v>3770.4468881209723</v>
      </c>
      <c r="DD238" s="399">
        <v>0</v>
      </c>
      <c r="DE238" s="399">
        <v>0</v>
      </c>
      <c r="DF238" s="399">
        <v>0</v>
      </c>
      <c r="DG238" s="399">
        <v>14.863593978488595</v>
      </c>
      <c r="DH238" s="399">
        <v>0</v>
      </c>
      <c r="DI238" s="399">
        <v>-299.75984847324708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-41.635550503038075</v>
      </c>
      <c r="DP238" s="399">
        <v>-6.2390960189443234</v>
      </c>
      <c r="DQ238" s="399">
        <v>0</v>
      </c>
      <c r="DR238" s="399">
        <v>0</v>
      </c>
      <c r="DS238" s="399"/>
      <c r="DT238" s="399"/>
      <c r="DU238" s="399"/>
      <c r="DV238" s="399">
        <v>202665.78642618156</v>
      </c>
      <c r="DW238" s="399">
        <v>0</v>
      </c>
      <c r="DX238" s="399">
        <v>0</v>
      </c>
      <c r="DY238" s="399">
        <v>-85452.596760000015</v>
      </c>
      <c r="DZ238" s="399">
        <v>3770.5183199999992</v>
      </c>
      <c r="EA238" s="399">
        <v>0</v>
      </c>
      <c r="EB238" s="399">
        <v>0</v>
      </c>
      <c r="EC238" s="399">
        <v>-88924.134537853039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216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954</v>
      </c>
      <c r="C239" s="399" t="s">
        <v>2360</v>
      </c>
      <c r="D239" s="399" t="s">
        <v>533</v>
      </c>
      <c r="E239" s="399" t="s">
        <v>888</v>
      </c>
      <c r="F239" s="399" t="s">
        <v>1237</v>
      </c>
      <c r="G239" s="399" t="s">
        <v>1237</v>
      </c>
      <c r="H239" s="399" t="s">
        <v>1237</v>
      </c>
      <c r="I239" s="399" t="s">
        <v>2327</v>
      </c>
      <c r="J239" s="399" t="s">
        <v>2353</v>
      </c>
      <c r="K239" s="789">
        <v>44621</v>
      </c>
      <c r="L239" s="399">
        <v>0</v>
      </c>
      <c r="M239" s="399">
        <v>0</v>
      </c>
      <c r="N239" s="399">
        <v>2710.4949999999999</v>
      </c>
      <c r="O239" s="399">
        <v>2710.4949999999999</v>
      </c>
      <c r="P239" s="399">
        <v>2710.4949999999999</v>
      </c>
      <c r="Q239" s="399">
        <v>2710.4949999999999</v>
      </c>
      <c r="R239" s="399"/>
      <c r="S239" s="399">
        <v>64.11</v>
      </c>
      <c r="T239" s="399">
        <v>215.17</v>
      </c>
      <c r="U239" s="399"/>
      <c r="V239" s="399">
        <v>756987.04359999986</v>
      </c>
      <c r="W239" s="399">
        <v>756987.04359999986</v>
      </c>
      <c r="X239" s="399">
        <v>824153.10969999991</v>
      </c>
      <c r="Y239" s="399">
        <v>0</v>
      </c>
      <c r="Z239" s="399">
        <v>144050.17927013425</v>
      </c>
      <c r="AA239" s="399">
        <v>0</v>
      </c>
      <c r="AB239" s="399">
        <v>0</v>
      </c>
      <c r="AC239" s="399">
        <v>0</v>
      </c>
      <c r="AD239" s="399">
        <v>0</v>
      </c>
      <c r="AE239" s="399">
        <v>0</v>
      </c>
      <c r="AF239" s="399">
        <v>571269.17801353568</v>
      </c>
      <c r="AG239" s="399">
        <v>11945.082171132468</v>
      </c>
      <c r="AH239" s="399">
        <v>0</v>
      </c>
      <c r="AI239" s="399">
        <v>0</v>
      </c>
      <c r="AJ239" s="399">
        <v>0</v>
      </c>
      <c r="AK239" s="399">
        <v>0</v>
      </c>
      <c r="AL239" s="399">
        <v>25585.572154474674</v>
      </c>
      <c r="AM239" s="399"/>
      <c r="AN239" s="399">
        <v>1869.896357945184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2252.0176961435659</v>
      </c>
      <c r="BH239" s="399">
        <v>0</v>
      </c>
      <c r="BI239" s="399">
        <v>0</v>
      </c>
      <c r="BJ239" s="399">
        <v>0</v>
      </c>
      <c r="BK239" s="399">
        <v>0</v>
      </c>
      <c r="BL239" s="399">
        <v>0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573521.19570967928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824154.62999999989</v>
      </c>
      <c r="CJ239" s="399">
        <v>67167.556400000001</v>
      </c>
      <c r="CK239" s="399"/>
      <c r="CL239" s="399"/>
      <c r="CM239" s="399"/>
      <c r="CN239" s="399"/>
      <c r="CO239" s="399">
        <v>-6505.1879999999956</v>
      </c>
      <c r="CP239" s="399">
        <v>73671.25410000002</v>
      </c>
      <c r="CQ239" s="399">
        <v>31</v>
      </c>
      <c r="CR239" s="399">
        <v>67167.927501125028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0</v>
      </c>
      <c r="DA239" s="399">
        <v>0</v>
      </c>
      <c r="DB239" s="399">
        <v>0</v>
      </c>
      <c r="DC239" s="399">
        <v>73669.858409629669</v>
      </c>
      <c r="DD239" s="399">
        <v>0</v>
      </c>
      <c r="DE239" s="399">
        <v>0</v>
      </c>
      <c r="DF239" s="399">
        <v>0</v>
      </c>
      <c r="DG239" s="399">
        <v>290.41620167183373</v>
      </c>
      <c r="DH239" s="399">
        <v>0</v>
      </c>
      <c r="DI239" s="399">
        <v>-5856.9358617650578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-813.5070460823772</v>
      </c>
      <c r="DP239" s="399">
        <v>-121.90420232885799</v>
      </c>
      <c r="DQ239" s="399">
        <v>0</v>
      </c>
      <c r="DR239" s="399">
        <v>0</v>
      </c>
      <c r="DS239" s="399"/>
      <c r="DT239" s="399"/>
      <c r="DU239" s="399"/>
      <c r="DV239" s="399">
        <v>0</v>
      </c>
      <c r="DW239" s="399">
        <v>0</v>
      </c>
      <c r="DX239" s="399">
        <v>0</v>
      </c>
      <c r="DY239" s="399">
        <v>-6505.1879999999946</v>
      </c>
      <c r="DZ239" s="399">
        <v>73671.25410000002</v>
      </c>
      <c r="EA239" s="399">
        <v>0</v>
      </c>
      <c r="EB239" s="399">
        <v>0</v>
      </c>
      <c r="EC239" s="399">
        <v>0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216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954</v>
      </c>
      <c r="C240" s="399" t="s">
        <v>2360</v>
      </c>
      <c r="D240" s="399" t="s">
        <v>533</v>
      </c>
      <c r="E240" s="399" t="s">
        <v>888</v>
      </c>
      <c r="F240" s="399" t="s">
        <v>1237</v>
      </c>
      <c r="G240" s="399" t="s">
        <v>1237</v>
      </c>
      <c r="H240" s="399" t="s">
        <v>1237</v>
      </c>
      <c r="I240" s="399" t="s">
        <v>1237</v>
      </c>
      <c r="J240" s="399" t="s">
        <v>2353</v>
      </c>
      <c r="K240" s="789">
        <v>44621</v>
      </c>
      <c r="L240" s="399">
        <v>6418</v>
      </c>
      <c r="M240" s="399">
        <v>6418</v>
      </c>
      <c r="N240" s="399">
        <v>0</v>
      </c>
      <c r="O240" s="399">
        <v>0</v>
      </c>
      <c r="P240" s="399">
        <v>0</v>
      </c>
      <c r="Q240" s="399">
        <v>0</v>
      </c>
      <c r="R240" s="399">
        <v>28.04</v>
      </c>
      <c r="S240" s="399"/>
      <c r="T240" s="399"/>
      <c r="U240" s="399">
        <v>179960.72</v>
      </c>
      <c r="V240" s="399"/>
      <c r="W240" s="399">
        <v>179960.72</v>
      </c>
      <c r="X240" s="399">
        <v>135163.07999999999</v>
      </c>
      <c r="Y240" s="399">
        <v>0</v>
      </c>
      <c r="Z240" s="399">
        <v>0</v>
      </c>
      <c r="AA240" s="399">
        <v>0</v>
      </c>
      <c r="AB240" s="399">
        <v>0</v>
      </c>
      <c r="AC240" s="399">
        <v>0</v>
      </c>
      <c r="AD240" s="399">
        <v>71051.607517928598</v>
      </c>
      <c r="AE240" s="399">
        <v>108941.05676003812</v>
      </c>
      <c r="AF240" s="399"/>
      <c r="AG240" s="399"/>
      <c r="AH240" s="399"/>
      <c r="AI240" s="399">
        <v>0</v>
      </c>
      <c r="AJ240" s="399">
        <v>0</v>
      </c>
      <c r="AK240" s="399">
        <v>0</v>
      </c>
      <c r="AL240" s="399">
        <v>0</v>
      </c>
      <c r="AM240" s="399"/>
      <c r="AN240" s="399">
        <v>0</v>
      </c>
      <c r="AO240" s="399">
        <v>0</v>
      </c>
      <c r="AP240" s="399">
        <v>0</v>
      </c>
      <c r="AQ240" s="399">
        <v>0</v>
      </c>
      <c r="AR240" s="399">
        <v>0</v>
      </c>
      <c r="AS240" s="399"/>
      <c r="AT240" s="399"/>
      <c r="AU240" s="399">
        <v>0</v>
      </c>
      <c r="AV240" s="399">
        <v>0</v>
      </c>
      <c r="AW240" s="399">
        <v>0</v>
      </c>
      <c r="AX240" s="399"/>
      <c r="AY240" s="399"/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/>
      <c r="BG240" s="399">
        <v>0</v>
      </c>
      <c r="BH240" s="399">
        <v>0</v>
      </c>
      <c r="BI240" s="399">
        <v>0</v>
      </c>
      <c r="BJ240" s="399">
        <v>0</v>
      </c>
      <c r="BK240" s="399">
        <v>507328.11</v>
      </c>
      <c r="BL240" s="399">
        <v>15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0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135163.07999999999</v>
      </c>
      <c r="CJ240" s="399">
        <v>-44797.670000000042</v>
      </c>
      <c r="CK240" s="399"/>
      <c r="CL240" s="399"/>
      <c r="CM240" s="399"/>
      <c r="CN240" s="399"/>
      <c r="CO240" s="399">
        <v>-44797.64</v>
      </c>
      <c r="CP240" s="399">
        <v>0</v>
      </c>
      <c r="CQ240" s="399">
        <v>31</v>
      </c>
      <c r="CR240" s="399">
        <v>2957.3229387436149</v>
      </c>
      <c r="CS240" s="399">
        <v>0</v>
      </c>
      <c r="CT240" s="399">
        <v>0</v>
      </c>
      <c r="CU240" s="399">
        <v>0</v>
      </c>
      <c r="CV240" s="399">
        <v>0</v>
      </c>
      <c r="CW240" s="399"/>
      <c r="CX240" s="399"/>
      <c r="CY240" s="399"/>
      <c r="CZ240" s="399">
        <v>2957.3229387436149</v>
      </c>
      <c r="DA240" s="399">
        <v>0</v>
      </c>
      <c r="DB240" s="399">
        <v>0</v>
      </c>
      <c r="DC240" s="399"/>
      <c r="DD240" s="399"/>
      <c r="DE240" s="399">
        <v>0</v>
      </c>
      <c r="DF240" s="399">
        <v>0</v>
      </c>
      <c r="DG240" s="399">
        <v>0</v>
      </c>
      <c r="DH240" s="399">
        <v>0</v>
      </c>
      <c r="DI240" s="399">
        <v>0</v>
      </c>
      <c r="DJ240" s="399"/>
      <c r="DK240" s="399">
        <v>0</v>
      </c>
      <c r="DL240" s="399">
        <v>0</v>
      </c>
      <c r="DM240" s="399"/>
      <c r="DN240" s="399">
        <v>0</v>
      </c>
      <c r="DO240" s="399">
        <v>0</v>
      </c>
      <c r="DP240" s="399">
        <v>0</v>
      </c>
      <c r="DQ240" s="399">
        <v>0</v>
      </c>
      <c r="DR240" s="399">
        <v>0</v>
      </c>
      <c r="DS240" s="399"/>
      <c r="DT240" s="399"/>
      <c r="DU240" s="399">
        <v>108941.05676003812</v>
      </c>
      <c r="DV240" s="399"/>
      <c r="DW240" s="399">
        <v>0</v>
      </c>
      <c r="DX240" s="399">
        <v>0</v>
      </c>
      <c r="DY240" s="399">
        <v>-44797.640000000014</v>
      </c>
      <c r="DZ240" s="399"/>
      <c r="EA240" s="399">
        <v>0</v>
      </c>
      <c r="EB240" s="399"/>
      <c r="EC240" s="399">
        <v>-47800.318735861532</v>
      </c>
      <c r="ED240" s="399"/>
      <c r="EE240" s="399">
        <v>0</v>
      </c>
      <c r="EF240" s="399">
        <v>0</v>
      </c>
      <c r="EG240" s="399"/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/>
      <c r="EN240" s="399"/>
      <c r="EO240" s="399">
        <v>0</v>
      </c>
      <c r="EP240" s="399">
        <v>0</v>
      </c>
      <c r="EQ240" s="399"/>
      <c r="ER240" s="399">
        <v>0</v>
      </c>
      <c r="ES240" s="399"/>
      <c r="ET240" s="399">
        <v>0</v>
      </c>
      <c r="EU240" s="399"/>
      <c r="EV240" s="399">
        <v>216</v>
      </c>
      <c r="EW240" s="399"/>
      <c r="EX240" s="399"/>
      <c r="EY240" s="399"/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954</v>
      </c>
      <c r="C241" s="399" t="s">
        <v>2352</v>
      </c>
      <c r="D241" s="399" t="s">
        <v>1824</v>
      </c>
      <c r="E241" s="399" t="s">
        <v>916</v>
      </c>
      <c r="F241" s="399" t="s">
        <v>1237</v>
      </c>
      <c r="G241" s="399" t="s">
        <v>1237</v>
      </c>
      <c r="H241" s="399" t="s">
        <v>1237</v>
      </c>
      <c r="I241" s="399" t="s">
        <v>1237</v>
      </c>
      <c r="J241" s="399" t="s">
        <v>2353</v>
      </c>
      <c r="K241" s="789">
        <v>44621</v>
      </c>
      <c r="L241" s="399">
        <v>0</v>
      </c>
      <c r="M241" s="399">
        <v>0</v>
      </c>
      <c r="N241" s="399">
        <v>210.20400000000001</v>
      </c>
      <c r="O241" s="399">
        <v>210.20400000000001</v>
      </c>
      <c r="P241" s="399">
        <v>210.20400000000001</v>
      </c>
      <c r="Q241" s="399">
        <v>210.20400000000001</v>
      </c>
      <c r="R241" s="399"/>
      <c r="S241" s="399">
        <v>415.98</v>
      </c>
      <c r="T241" s="399">
        <v>215.17</v>
      </c>
      <c r="U241" s="399"/>
      <c r="V241" s="399">
        <v>132670.25460000001</v>
      </c>
      <c r="W241" s="399">
        <v>132670.25460000001</v>
      </c>
      <c r="X241" s="399">
        <v>115305.30216000001</v>
      </c>
      <c r="Y241" s="399">
        <v>0</v>
      </c>
      <c r="Z241" s="399">
        <v>12840.647265790527</v>
      </c>
      <c r="AA241" s="399">
        <v>0</v>
      </c>
      <c r="AB241" s="399">
        <v>0</v>
      </c>
      <c r="AC241" s="399">
        <v>0</v>
      </c>
      <c r="AD241" s="399">
        <v>18774.49163286162</v>
      </c>
      <c r="AE241" s="399">
        <v>53141.776617651391</v>
      </c>
      <c r="AF241" s="399">
        <v>44303.002328046088</v>
      </c>
      <c r="AG241" s="399">
        <v>926.36365412986538</v>
      </c>
      <c r="AH241" s="399">
        <v>0</v>
      </c>
      <c r="AI241" s="399">
        <v>0</v>
      </c>
      <c r="AJ241" s="399">
        <v>0</v>
      </c>
      <c r="AK241" s="399">
        <v>0</v>
      </c>
      <c r="AL241" s="399">
        <v>1984.2093821088749</v>
      </c>
      <c r="AM241" s="399"/>
      <c r="AN241" s="399">
        <v>247.49365964216955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452.34524872371475</v>
      </c>
      <c r="BH241" s="399">
        <v>0</v>
      </c>
      <c r="BI241" s="399">
        <v>0</v>
      </c>
      <c r="BJ241" s="399">
        <v>0</v>
      </c>
      <c r="BK241" s="399">
        <v>47809.49</v>
      </c>
      <c r="BL241" s="399">
        <v>447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44755.347576769804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115303.10799999999</v>
      </c>
      <c r="CJ241" s="399">
        <v>-17367.176600000021</v>
      </c>
      <c r="CK241" s="399"/>
      <c r="CL241" s="399"/>
      <c r="CM241" s="399"/>
      <c r="CN241" s="399"/>
      <c r="CO241" s="399">
        <v>-23078.297160000006</v>
      </c>
      <c r="CP241" s="399">
        <v>5713.3447200000019</v>
      </c>
      <c r="CQ241" s="399">
        <v>31</v>
      </c>
      <c r="CR241" s="399">
        <v>5951.6937186902505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781.43530749966885</v>
      </c>
      <c r="DA241" s="399">
        <v>0</v>
      </c>
      <c r="DB241" s="399">
        <v>0</v>
      </c>
      <c r="DC241" s="399">
        <v>5713.2364815791152</v>
      </c>
      <c r="DD241" s="399">
        <v>0</v>
      </c>
      <c r="DE241" s="399">
        <v>0</v>
      </c>
      <c r="DF241" s="399">
        <v>0</v>
      </c>
      <c r="DG241" s="399">
        <v>58.333639741641719</v>
      </c>
      <c r="DH241" s="399">
        <v>0</v>
      </c>
      <c r="DI241" s="399">
        <v>-522.08784355799253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-63.089005925006404</v>
      </c>
      <c r="DP241" s="399">
        <v>-16.13486064718623</v>
      </c>
      <c r="DQ241" s="399">
        <v>0</v>
      </c>
      <c r="DR241" s="399">
        <v>0</v>
      </c>
      <c r="DS241" s="399"/>
      <c r="DT241" s="399"/>
      <c r="DU241" s="399"/>
      <c r="DV241" s="399">
        <v>53141.776617651391</v>
      </c>
      <c r="DW241" s="399">
        <v>0</v>
      </c>
      <c r="DX241" s="399">
        <v>0</v>
      </c>
      <c r="DY241" s="399">
        <v>-23078.297160000002</v>
      </c>
      <c r="DZ241" s="399">
        <v>5713.344720000001</v>
      </c>
      <c r="EA241" s="399">
        <v>0</v>
      </c>
      <c r="EB241" s="399">
        <v>0</v>
      </c>
      <c r="EC241" s="399">
        <v>-23317.139892528437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216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2355</v>
      </c>
      <c r="C242" s="399" t="s">
        <v>2352</v>
      </c>
      <c r="D242" s="399" t="s">
        <v>1824</v>
      </c>
      <c r="E242" s="399" t="s">
        <v>916</v>
      </c>
      <c r="F242" s="399" t="s">
        <v>1237</v>
      </c>
      <c r="G242" s="399" t="s">
        <v>1237</v>
      </c>
      <c r="H242" s="399" t="s">
        <v>1237</v>
      </c>
      <c r="I242" s="399" t="s">
        <v>1237</v>
      </c>
      <c r="J242" s="399" t="s">
        <v>2353</v>
      </c>
      <c r="K242" s="789">
        <v>44621</v>
      </c>
      <c r="L242" s="399">
        <v>0</v>
      </c>
      <c r="M242" s="399">
        <v>0</v>
      </c>
      <c r="N242" s="399">
        <v>3.919</v>
      </c>
      <c r="O242" s="399">
        <v>3.919</v>
      </c>
      <c r="P242" s="399">
        <v>3.919</v>
      </c>
      <c r="Q242" s="399">
        <v>3.919</v>
      </c>
      <c r="R242" s="399"/>
      <c r="S242" s="399">
        <v>415.98</v>
      </c>
      <c r="T242" s="399">
        <v>215.17</v>
      </c>
      <c r="U242" s="399"/>
      <c r="V242" s="399">
        <v>2473.47685</v>
      </c>
      <c r="W242" s="399">
        <v>2473.47685</v>
      </c>
      <c r="X242" s="399">
        <v>2149.7282599999999</v>
      </c>
      <c r="Y242" s="399">
        <v>0</v>
      </c>
      <c r="Z242" s="399">
        <v>239.39837793111965</v>
      </c>
      <c r="AA242" s="399">
        <v>0</v>
      </c>
      <c r="AB242" s="399">
        <v>0</v>
      </c>
      <c r="AC242" s="399">
        <v>0</v>
      </c>
      <c r="AD242" s="399">
        <v>350.02774785058654</v>
      </c>
      <c r="AE242" s="399">
        <v>990.76431735160043</v>
      </c>
      <c r="AF242" s="399">
        <v>825.97603339428656</v>
      </c>
      <c r="AG242" s="399">
        <v>17.270932810674118</v>
      </c>
      <c r="AH242" s="399">
        <v>0</v>
      </c>
      <c r="AI242" s="399">
        <v>0</v>
      </c>
      <c r="AJ242" s="399">
        <v>0</v>
      </c>
      <c r="AK242" s="399">
        <v>0</v>
      </c>
      <c r="AL242" s="399">
        <v>36.993190274612665</v>
      </c>
      <c r="AM242" s="399"/>
      <c r="AN242" s="399">
        <v>4.6142207195755667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8.4334314748921901</v>
      </c>
      <c r="BH242" s="399">
        <v>0</v>
      </c>
      <c r="BI242" s="399">
        <v>0</v>
      </c>
      <c r="BJ242" s="399">
        <v>0</v>
      </c>
      <c r="BK242" s="399">
        <v>1568.48</v>
      </c>
      <c r="BL242" s="399">
        <v>7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834.40946486917881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2150.2767999999996</v>
      </c>
      <c r="CJ242" s="399">
        <v>-323.23005000000057</v>
      </c>
      <c r="CK242" s="399"/>
      <c r="CL242" s="399"/>
      <c r="CM242" s="399"/>
      <c r="CN242" s="399"/>
      <c r="CO242" s="399">
        <v>-430.26701000000008</v>
      </c>
      <c r="CP242" s="399">
        <v>106.51842000000003</v>
      </c>
      <c r="CQ242" s="399">
        <v>31</v>
      </c>
      <c r="CR242" s="399">
        <v>110.96214954780612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14.568918622343972</v>
      </c>
      <c r="DA242" s="399">
        <v>0</v>
      </c>
      <c r="DB242" s="399">
        <v>0</v>
      </c>
      <c r="DC242" s="399">
        <v>106.51640202521617</v>
      </c>
      <c r="DD242" s="399">
        <v>0</v>
      </c>
      <c r="DE242" s="399">
        <v>0</v>
      </c>
      <c r="DF242" s="399">
        <v>0</v>
      </c>
      <c r="DG242" s="399">
        <v>1.0875603420843269</v>
      </c>
      <c r="DH242" s="399">
        <v>0</v>
      </c>
      <c r="DI242" s="399">
        <v>-9.7336980214637947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-1.1762184079280118</v>
      </c>
      <c r="DP242" s="399">
        <v>-0.30081501244658959</v>
      </c>
      <c r="DQ242" s="399">
        <v>0</v>
      </c>
      <c r="DR242" s="399">
        <v>0</v>
      </c>
      <c r="DS242" s="399"/>
      <c r="DT242" s="399"/>
      <c r="DU242" s="399"/>
      <c r="DV242" s="399">
        <v>990.76431735160043</v>
      </c>
      <c r="DW242" s="399">
        <v>0</v>
      </c>
      <c r="DX242" s="399">
        <v>0</v>
      </c>
      <c r="DY242" s="399">
        <v>-430.26701000000025</v>
      </c>
      <c r="DZ242" s="399">
        <v>106.51841999999999</v>
      </c>
      <c r="EA242" s="399">
        <v>0</v>
      </c>
      <c r="EB242" s="399">
        <v>0</v>
      </c>
      <c r="EC242" s="399">
        <v>-434.71994461960264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216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954</v>
      </c>
      <c r="C243" s="399" t="s">
        <v>2360</v>
      </c>
      <c r="D243" s="399" t="s">
        <v>533</v>
      </c>
      <c r="E243" s="399" t="s">
        <v>916</v>
      </c>
      <c r="F243" s="399" t="s">
        <v>1237</v>
      </c>
      <c r="G243" s="399" t="s">
        <v>1237</v>
      </c>
      <c r="H243" s="399" t="s">
        <v>1237</v>
      </c>
      <c r="I243" s="399" t="s">
        <v>891</v>
      </c>
      <c r="J243" s="399" t="s">
        <v>2353</v>
      </c>
      <c r="K243" s="789">
        <v>44621</v>
      </c>
      <c r="L243" s="399">
        <v>0</v>
      </c>
      <c r="M243" s="399">
        <v>0</v>
      </c>
      <c r="N243" s="399">
        <v>2.8220000000000001</v>
      </c>
      <c r="O243" s="399">
        <v>2.8220000000000001</v>
      </c>
      <c r="P243" s="399">
        <v>2.8220000000000001</v>
      </c>
      <c r="Q243" s="399">
        <v>2.8220000000000001</v>
      </c>
      <c r="R243" s="399"/>
      <c r="S243" s="399">
        <v>2184.0300000000002</v>
      </c>
      <c r="T243" s="399">
        <v>215.17</v>
      </c>
      <c r="U243" s="399"/>
      <c r="V243" s="399">
        <v>6770.5424000000012</v>
      </c>
      <c r="W243" s="399">
        <v>6770.5424000000012</v>
      </c>
      <c r="X243" s="399">
        <v>5108.92058</v>
      </c>
      <c r="Y243" s="399">
        <v>0</v>
      </c>
      <c r="Z243" s="399">
        <v>149.97615044496257</v>
      </c>
      <c r="AA243" s="399">
        <v>0</v>
      </c>
      <c r="AB243" s="399">
        <v>0</v>
      </c>
      <c r="AC243" s="399">
        <v>0</v>
      </c>
      <c r="AD243" s="399">
        <v>1859.6818190841668</v>
      </c>
      <c r="AE243" s="399">
        <v>4122.7390306989737</v>
      </c>
      <c r="AF243" s="399">
        <v>594.77018786391341</v>
      </c>
      <c r="AG243" s="399">
        <v>12.436481855504558</v>
      </c>
      <c r="AH243" s="399">
        <v>0</v>
      </c>
      <c r="AI243" s="399">
        <v>0</v>
      </c>
      <c r="AJ243" s="399">
        <v>0</v>
      </c>
      <c r="AK243" s="399">
        <v>0</v>
      </c>
      <c r="AL243" s="399">
        <v>26.638117620555484</v>
      </c>
      <c r="AM243" s="399"/>
      <c r="AN243" s="399">
        <v>1.946820607350801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2.3446617457391152</v>
      </c>
      <c r="BH243" s="399">
        <v>0</v>
      </c>
      <c r="BI243" s="399">
        <v>0</v>
      </c>
      <c r="BJ243" s="399">
        <v>0</v>
      </c>
      <c r="BK243" s="399">
        <v>0</v>
      </c>
      <c r="BL243" s="399">
        <v>0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597.11484960965254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5105.2997999999998</v>
      </c>
      <c r="CJ243" s="399">
        <v>-1665.2726000000021</v>
      </c>
      <c r="CK243" s="399"/>
      <c r="CL243" s="399"/>
      <c r="CM243" s="399"/>
      <c r="CN243" s="399"/>
      <c r="CO243" s="399">
        <v>-1738.3237800000006</v>
      </c>
      <c r="CP243" s="399">
        <v>76.701960000000014</v>
      </c>
      <c r="CQ243" s="399">
        <v>31</v>
      </c>
      <c r="CR243" s="399">
        <v>147.33511309201958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77.404015116124128</v>
      </c>
      <c r="DA243" s="399">
        <v>0</v>
      </c>
      <c r="DB243" s="399">
        <v>0</v>
      </c>
      <c r="DC243" s="399">
        <v>76.700506893380975</v>
      </c>
      <c r="DD243" s="399">
        <v>0</v>
      </c>
      <c r="DE243" s="399">
        <v>0</v>
      </c>
      <c r="DF243" s="399">
        <v>0</v>
      </c>
      <c r="DG243" s="399">
        <v>0.30236341373731168</v>
      </c>
      <c r="DH243" s="399">
        <v>0</v>
      </c>
      <c r="DI243" s="399">
        <v>-6.0978799082458863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-0.84697329603798366</v>
      </c>
      <c r="DP243" s="399">
        <v>-0.1269191269388199</v>
      </c>
      <c r="DQ243" s="399">
        <v>0</v>
      </c>
      <c r="DR243" s="399">
        <v>0</v>
      </c>
      <c r="DS243" s="399"/>
      <c r="DT243" s="399"/>
      <c r="DU243" s="399"/>
      <c r="DV243" s="399">
        <v>4122.7390306989737</v>
      </c>
      <c r="DW243" s="399">
        <v>0</v>
      </c>
      <c r="DX243" s="399">
        <v>0</v>
      </c>
      <c r="DY243" s="399">
        <v>-1738.3237800000006</v>
      </c>
      <c r="DZ243" s="399">
        <v>76.701959999999985</v>
      </c>
      <c r="EA243" s="399">
        <v>0</v>
      </c>
      <c r="EB243" s="399">
        <v>0</v>
      </c>
      <c r="EC243" s="399">
        <v>-1808.9437131701893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216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954</v>
      </c>
      <c r="C244" s="399" t="s">
        <v>2360</v>
      </c>
      <c r="D244" s="399" t="s">
        <v>533</v>
      </c>
      <c r="E244" s="399" t="s">
        <v>916</v>
      </c>
      <c r="F244" s="399" t="s">
        <v>1237</v>
      </c>
      <c r="G244" s="399" t="s">
        <v>1237</v>
      </c>
      <c r="H244" s="399" t="s">
        <v>1237</v>
      </c>
      <c r="I244" s="399" t="s">
        <v>2327</v>
      </c>
      <c r="J244" s="399" t="s">
        <v>2353</v>
      </c>
      <c r="K244" s="789">
        <v>44621</v>
      </c>
      <c r="L244" s="399">
        <v>0</v>
      </c>
      <c r="M244" s="399">
        <v>0</v>
      </c>
      <c r="N244" s="399">
        <v>31.95</v>
      </c>
      <c r="O244" s="399">
        <v>31.95</v>
      </c>
      <c r="P244" s="399">
        <v>31.95</v>
      </c>
      <c r="Q244" s="399">
        <v>31.95</v>
      </c>
      <c r="R244" s="399"/>
      <c r="S244" s="399">
        <v>64.11</v>
      </c>
      <c r="T244" s="399">
        <v>215.17</v>
      </c>
      <c r="U244" s="399"/>
      <c r="V244" s="399">
        <v>8922.9959999999992</v>
      </c>
      <c r="W244" s="399">
        <v>8922.9959999999992</v>
      </c>
      <c r="X244" s="399">
        <v>9714.7169999999987</v>
      </c>
      <c r="Y244" s="399">
        <v>0</v>
      </c>
      <c r="Z244" s="399">
        <v>1697.9936239250724</v>
      </c>
      <c r="AA244" s="399">
        <v>0</v>
      </c>
      <c r="AB244" s="399">
        <v>0</v>
      </c>
      <c r="AC244" s="399">
        <v>0</v>
      </c>
      <c r="AD244" s="399">
        <v>0</v>
      </c>
      <c r="AE244" s="399">
        <v>0</v>
      </c>
      <c r="AF244" s="399">
        <v>6733.8439058299191</v>
      </c>
      <c r="AG244" s="399">
        <v>140.80283319750907</v>
      </c>
      <c r="AH244" s="399">
        <v>0</v>
      </c>
      <c r="AI244" s="399">
        <v>0</v>
      </c>
      <c r="AJ244" s="399">
        <v>0</v>
      </c>
      <c r="AK244" s="399">
        <v>0</v>
      </c>
      <c r="AL244" s="399">
        <v>301.59031111862072</v>
      </c>
      <c r="AM244" s="399"/>
      <c r="AN244" s="399">
        <v>22.041431043535823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26.54569198312003</v>
      </c>
      <c r="BH244" s="399">
        <v>0</v>
      </c>
      <c r="BI244" s="399">
        <v>0</v>
      </c>
      <c r="BJ244" s="399">
        <v>0</v>
      </c>
      <c r="BK244" s="399">
        <v>0</v>
      </c>
      <c r="BL244" s="399">
        <v>0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6760.3895978130395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9714.7169999999987</v>
      </c>
      <c r="CJ244" s="399">
        <v>791.69099999999889</v>
      </c>
      <c r="CK244" s="399"/>
      <c r="CL244" s="399"/>
      <c r="CM244" s="399"/>
      <c r="CN244" s="399"/>
      <c r="CO244" s="399">
        <v>-76.67999999999995</v>
      </c>
      <c r="CP244" s="399">
        <v>868.40100000000018</v>
      </c>
      <c r="CQ244" s="399">
        <v>31</v>
      </c>
      <c r="CR244" s="399">
        <v>791.7429412933634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0</v>
      </c>
      <c r="DA244" s="399">
        <v>0</v>
      </c>
      <c r="DB244" s="399">
        <v>0</v>
      </c>
      <c r="DC244" s="399">
        <v>868.38454827906571</v>
      </c>
      <c r="DD244" s="399">
        <v>0</v>
      </c>
      <c r="DE244" s="399">
        <v>0</v>
      </c>
      <c r="DF244" s="399">
        <v>0</v>
      </c>
      <c r="DG244" s="399">
        <v>3.423285283099613</v>
      </c>
      <c r="DH244" s="399">
        <v>0</v>
      </c>
      <c r="DI244" s="399">
        <v>-69.038718309162505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-9.5892263672620857</v>
      </c>
      <c r="DP244" s="399">
        <v>-1.4369475923796244</v>
      </c>
      <c r="DQ244" s="399">
        <v>0</v>
      </c>
      <c r="DR244" s="399">
        <v>0</v>
      </c>
      <c r="DS244" s="399"/>
      <c r="DT244" s="399"/>
      <c r="DU244" s="399"/>
      <c r="DV244" s="399">
        <v>0</v>
      </c>
      <c r="DW244" s="399">
        <v>0</v>
      </c>
      <c r="DX244" s="399">
        <v>0</v>
      </c>
      <c r="DY244" s="399">
        <v>-76.680000000000064</v>
      </c>
      <c r="DZ244" s="399">
        <v>868.40099999999984</v>
      </c>
      <c r="EA244" s="399">
        <v>0</v>
      </c>
      <c r="EB244" s="399">
        <v>0</v>
      </c>
      <c r="EC244" s="399">
        <v>0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216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954</v>
      </c>
      <c r="C245" s="399" t="s">
        <v>2360</v>
      </c>
      <c r="D245" s="399" t="s">
        <v>533</v>
      </c>
      <c r="E245" s="399" t="s">
        <v>916</v>
      </c>
      <c r="F245" s="399" t="s">
        <v>1237</v>
      </c>
      <c r="G245" s="399" t="s">
        <v>1237</v>
      </c>
      <c r="H245" s="399" t="s">
        <v>1237</v>
      </c>
      <c r="I245" s="399" t="s">
        <v>1237</v>
      </c>
      <c r="J245" s="399" t="s">
        <v>2353</v>
      </c>
      <c r="K245" s="789">
        <v>44621</v>
      </c>
      <c r="L245" s="399">
        <v>110</v>
      </c>
      <c r="M245" s="399">
        <v>110</v>
      </c>
      <c r="N245" s="399">
        <v>0</v>
      </c>
      <c r="O245" s="399">
        <v>0</v>
      </c>
      <c r="P245" s="399">
        <v>0</v>
      </c>
      <c r="Q245" s="399">
        <v>0</v>
      </c>
      <c r="R245" s="399">
        <v>28.04</v>
      </c>
      <c r="S245" s="399"/>
      <c r="T245" s="399"/>
      <c r="U245" s="399">
        <v>3084.4</v>
      </c>
      <c r="V245" s="399"/>
      <c r="W245" s="399">
        <v>3084.4</v>
      </c>
      <c r="X245" s="399">
        <v>2316.6</v>
      </c>
      <c r="Y245" s="399">
        <v>0</v>
      </c>
      <c r="Z245" s="399">
        <v>0</v>
      </c>
      <c r="AA245" s="399">
        <v>0</v>
      </c>
      <c r="AB245" s="399">
        <v>0</v>
      </c>
      <c r="AC245" s="399">
        <v>0</v>
      </c>
      <c r="AD245" s="399">
        <v>1217.7745133954729</v>
      </c>
      <c r="AE245" s="399">
        <v>1867.1729890315041</v>
      </c>
      <c r="AF245" s="399"/>
      <c r="AG245" s="399"/>
      <c r="AH245" s="399"/>
      <c r="AI245" s="399">
        <v>0</v>
      </c>
      <c r="AJ245" s="399">
        <v>0</v>
      </c>
      <c r="AK245" s="399">
        <v>0</v>
      </c>
      <c r="AL245" s="399">
        <v>0</v>
      </c>
      <c r="AM245" s="399"/>
      <c r="AN245" s="399">
        <v>0</v>
      </c>
      <c r="AO245" s="399">
        <v>0</v>
      </c>
      <c r="AP245" s="399">
        <v>0</v>
      </c>
      <c r="AQ245" s="399">
        <v>0</v>
      </c>
      <c r="AR245" s="399">
        <v>0</v>
      </c>
      <c r="AS245" s="399"/>
      <c r="AT245" s="399"/>
      <c r="AU245" s="399">
        <v>0</v>
      </c>
      <c r="AV245" s="399">
        <v>0</v>
      </c>
      <c r="AW245" s="399">
        <v>0</v>
      </c>
      <c r="AX245" s="399"/>
      <c r="AY245" s="399"/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/>
      <c r="BG245" s="399">
        <v>0</v>
      </c>
      <c r="BH245" s="399">
        <v>0</v>
      </c>
      <c r="BI245" s="399">
        <v>0</v>
      </c>
      <c r="BJ245" s="399">
        <v>0</v>
      </c>
      <c r="BK245" s="399">
        <v>6709.99</v>
      </c>
      <c r="BL245" s="399">
        <v>1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0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2316.6</v>
      </c>
      <c r="CJ245" s="399">
        <v>-767.83000000000084</v>
      </c>
      <c r="CK245" s="399"/>
      <c r="CL245" s="399"/>
      <c r="CM245" s="399"/>
      <c r="CN245" s="399"/>
      <c r="CO245" s="399">
        <v>-767.80000000000007</v>
      </c>
      <c r="CP245" s="399">
        <v>0</v>
      </c>
      <c r="CQ245" s="399">
        <v>31</v>
      </c>
      <c r="CR245" s="399">
        <v>50.686432418478944</v>
      </c>
      <c r="CS245" s="399">
        <v>0</v>
      </c>
      <c r="CT245" s="399">
        <v>0</v>
      </c>
      <c r="CU245" s="399">
        <v>0</v>
      </c>
      <c r="CV245" s="399">
        <v>0</v>
      </c>
      <c r="CW245" s="399"/>
      <c r="CX245" s="399"/>
      <c r="CY245" s="399"/>
      <c r="CZ245" s="399">
        <v>50.686432418478944</v>
      </c>
      <c r="DA245" s="399">
        <v>0</v>
      </c>
      <c r="DB245" s="399">
        <v>0</v>
      </c>
      <c r="DC245" s="399"/>
      <c r="DD245" s="399"/>
      <c r="DE245" s="399">
        <v>0</v>
      </c>
      <c r="DF245" s="399">
        <v>0</v>
      </c>
      <c r="DG245" s="399">
        <v>0</v>
      </c>
      <c r="DH245" s="399">
        <v>0</v>
      </c>
      <c r="DI245" s="399">
        <v>0</v>
      </c>
      <c r="DJ245" s="399"/>
      <c r="DK245" s="399">
        <v>0</v>
      </c>
      <c r="DL245" s="399">
        <v>0</v>
      </c>
      <c r="DM245" s="399"/>
      <c r="DN245" s="399">
        <v>0</v>
      </c>
      <c r="DO245" s="399">
        <v>0</v>
      </c>
      <c r="DP245" s="399">
        <v>0</v>
      </c>
      <c r="DQ245" s="399">
        <v>0</v>
      </c>
      <c r="DR245" s="399">
        <v>0</v>
      </c>
      <c r="DS245" s="399"/>
      <c r="DT245" s="399"/>
      <c r="DU245" s="399">
        <v>1867.1729890315041</v>
      </c>
      <c r="DV245" s="399"/>
      <c r="DW245" s="399">
        <v>0</v>
      </c>
      <c r="DX245" s="399">
        <v>0</v>
      </c>
      <c r="DY245" s="399">
        <v>-767.80000000000018</v>
      </c>
      <c r="DZ245" s="399"/>
      <c r="EA245" s="399">
        <v>0</v>
      </c>
      <c r="EB245" s="399"/>
      <c r="EC245" s="399">
        <v>-819.26379883838717</v>
      </c>
      <c r="ED245" s="399"/>
      <c r="EE245" s="399">
        <v>0</v>
      </c>
      <c r="EF245" s="399">
        <v>0</v>
      </c>
      <c r="EG245" s="399"/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/>
      <c r="EN245" s="399"/>
      <c r="EO245" s="399">
        <v>0</v>
      </c>
      <c r="EP245" s="399">
        <v>0</v>
      </c>
      <c r="EQ245" s="399"/>
      <c r="ER245" s="399">
        <v>0</v>
      </c>
      <c r="ES245" s="399"/>
      <c r="ET245" s="399">
        <v>0</v>
      </c>
      <c r="EU245" s="399"/>
      <c r="EV245" s="399">
        <v>216</v>
      </c>
      <c r="EW245" s="399"/>
      <c r="EX245" s="399"/>
      <c r="EY245" s="399"/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954</v>
      </c>
      <c r="C246" s="399" t="s">
        <v>2361</v>
      </c>
      <c r="D246" s="399" t="s">
        <v>1824</v>
      </c>
      <c r="E246" s="399" t="s">
        <v>916</v>
      </c>
      <c r="F246" s="399" t="s">
        <v>1237</v>
      </c>
      <c r="G246" s="399" t="s">
        <v>1237</v>
      </c>
      <c r="H246" s="399" t="s">
        <v>1237</v>
      </c>
      <c r="I246" s="399" t="s">
        <v>891</v>
      </c>
      <c r="J246" s="399" t="s">
        <v>2353</v>
      </c>
      <c r="K246" s="789">
        <v>44621</v>
      </c>
      <c r="L246" s="399">
        <v>0</v>
      </c>
      <c r="M246" s="399">
        <v>0</v>
      </c>
      <c r="N246" s="399">
        <v>7.4999999999999997E-2</v>
      </c>
      <c r="O246" s="399">
        <v>7.4999999999999997E-2</v>
      </c>
      <c r="P246" s="399">
        <v>7.4999999999999997E-2</v>
      </c>
      <c r="Q246" s="399">
        <v>7.4999999999999997E-2</v>
      </c>
      <c r="R246" s="399"/>
      <c r="S246" s="399">
        <v>1254.27</v>
      </c>
      <c r="T246" s="399">
        <v>215.17</v>
      </c>
      <c r="U246" s="399"/>
      <c r="V246" s="399">
        <v>110.208</v>
      </c>
      <c r="W246" s="399">
        <v>110.208</v>
      </c>
      <c r="X246" s="399">
        <v>84.312749999999994</v>
      </c>
      <c r="Y246" s="399">
        <v>0</v>
      </c>
      <c r="Z246" s="399">
        <v>4.5814948570640404</v>
      </c>
      <c r="AA246" s="399">
        <v>0</v>
      </c>
      <c r="AB246" s="399">
        <v>0</v>
      </c>
      <c r="AC246" s="399">
        <v>0</v>
      </c>
      <c r="AD246" s="399">
        <v>23.116184877172351</v>
      </c>
      <c r="AE246" s="399">
        <v>65.414695527430268</v>
      </c>
      <c r="AF246" s="399">
        <v>15.807145318849575</v>
      </c>
      <c r="AG246" s="399">
        <v>0.33052308262326074</v>
      </c>
      <c r="AH246" s="399">
        <v>0</v>
      </c>
      <c r="AI246" s="399">
        <v>0</v>
      </c>
      <c r="AJ246" s="399">
        <v>0</v>
      </c>
      <c r="AK246" s="399">
        <v>0</v>
      </c>
      <c r="AL246" s="399">
        <v>0.70795847680427404</v>
      </c>
      <c r="AM246" s="399"/>
      <c r="AN246" s="399">
        <v>8.8304810913030746E-2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0.16139509074174899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15.968540409591323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89.933600000000013</v>
      </c>
      <c r="CJ246" s="399">
        <v>-20.304400000000001</v>
      </c>
      <c r="CK246" s="399"/>
      <c r="CL246" s="399"/>
      <c r="CM246" s="399"/>
      <c r="CN246" s="399"/>
      <c r="CO246" s="399">
        <v>-27.933749999999993</v>
      </c>
      <c r="CP246" s="399">
        <v>2.0385000000000004</v>
      </c>
      <c r="CQ246" s="399">
        <v>31</v>
      </c>
      <c r="CR246" s="399">
        <v>2.8068748926950278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0.96214605385612373</v>
      </c>
      <c r="DA246" s="399">
        <v>0</v>
      </c>
      <c r="DB246" s="399">
        <v>0</v>
      </c>
      <c r="DC246" s="399">
        <v>2.0384613809367735</v>
      </c>
      <c r="DD246" s="399">
        <v>0</v>
      </c>
      <c r="DE246" s="399">
        <v>0</v>
      </c>
      <c r="DF246" s="399">
        <v>0</v>
      </c>
      <c r="DG246" s="399">
        <v>2.0813224204216524E-2</v>
      </c>
      <c r="DH246" s="399">
        <v>0</v>
      </c>
      <c r="DI246" s="399">
        <v>-0.18627898739724014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-2.2509921049911008E-2</v>
      </c>
      <c r="DP246" s="399">
        <v>-5.7568578549360011E-3</v>
      </c>
      <c r="DQ246" s="399">
        <v>0</v>
      </c>
      <c r="DR246" s="399">
        <v>0</v>
      </c>
      <c r="DS246" s="399"/>
      <c r="DT246" s="399"/>
      <c r="DU246" s="399"/>
      <c r="DV246" s="399">
        <v>65.414695527430268</v>
      </c>
      <c r="DW246" s="399">
        <v>0</v>
      </c>
      <c r="DX246" s="399">
        <v>0</v>
      </c>
      <c r="DY246" s="399">
        <v>-27.933750000000003</v>
      </c>
      <c r="DZ246" s="399">
        <v>2.0385000000000026</v>
      </c>
      <c r="EA246" s="399">
        <v>0</v>
      </c>
      <c r="EB246" s="399">
        <v>0</v>
      </c>
      <c r="EC246" s="399">
        <v>-28.702156828787921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216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954</v>
      </c>
      <c r="C247" s="399" t="s">
        <v>2361</v>
      </c>
      <c r="D247" s="399" t="s">
        <v>1824</v>
      </c>
      <c r="E247" s="399" t="s">
        <v>916</v>
      </c>
      <c r="F247" s="399" t="s">
        <v>1237</v>
      </c>
      <c r="G247" s="399" t="s">
        <v>1237</v>
      </c>
      <c r="H247" s="399" t="s">
        <v>1237</v>
      </c>
      <c r="I247" s="399" t="s">
        <v>2327</v>
      </c>
      <c r="J247" s="399" t="s">
        <v>2353</v>
      </c>
      <c r="K247" s="789">
        <v>44621</v>
      </c>
      <c r="L247" s="399">
        <v>0</v>
      </c>
      <c r="M247" s="399">
        <v>0</v>
      </c>
      <c r="N247" s="399">
        <v>0.97199999999999998</v>
      </c>
      <c r="O247" s="399">
        <v>0.97199999999999998</v>
      </c>
      <c r="P247" s="399">
        <v>0.97199999999999998</v>
      </c>
      <c r="Q247" s="399">
        <v>0.97199999999999998</v>
      </c>
      <c r="R247" s="399"/>
      <c r="S247" s="399">
        <v>309.91000000000003</v>
      </c>
      <c r="T247" s="399">
        <v>215.17</v>
      </c>
      <c r="U247" s="399"/>
      <c r="V247" s="399">
        <v>510.37775999999997</v>
      </c>
      <c r="W247" s="399">
        <v>510.37775999999997</v>
      </c>
      <c r="X247" s="399">
        <v>462.38040000000001</v>
      </c>
      <c r="Y247" s="399">
        <v>0</v>
      </c>
      <c r="Z247" s="399">
        <v>59.376173347549958</v>
      </c>
      <c r="AA247" s="399">
        <v>0</v>
      </c>
      <c r="AB247" s="399">
        <v>0</v>
      </c>
      <c r="AC247" s="399">
        <v>0</v>
      </c>
      <c r="AD247" s="399">
        <v>59.891403633573589</v>
      </c>
      <c r="AE247" s="399">
        <v>169.55505155280417</v>
      </c>
      <c r="AF247" s="399">
        <v>204.86060333229051</v>
      </c>
      <c r="AG247" s="399">
        <v>4.2835791507974594</v>
      </c>
      <c r="AH247" s="399">
        <v>0</v>
      </c>
      <c r="AI247" s="399">
        <v>0</v>
      </c>
      <c r="AJ247" s="399">
        <v>0</v>
      </c>
      <c r="AK247" s="399">
        <v>0</v>
      </c>
      <c r="AL247" s="399">
        <v>9.1751418593833911</v>
      </c>
      <c r="AM247" s="399"/>
      <c r="AN247" s="399">
        <v>1.1444303494328785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2.0916803760130667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206.95228370830358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461.42899999999997</v>
      </c>
      <c r="CJ247" s="399">
        <v>-48.978759999999966</v>
      </c>
      <c r="CK247" s="399"/>
      <c r="CL247" s="399"/>
      <c r="CM247" s="399"/>
      <c r="CN247" s="399"/>
      <c r="CO247" s="399">
        <v>-74.416320000000027</v>
      </c>
      <c r="CP247" s="399">
        <v>26.418960000000006</v>
      </c>
      <c r="CQ247" s="399">
        <v>31</v>
      </c>
      <c r="CR247" s="399">
        <v>26.400496652983747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2.4928109016315929</v>
      </c>
      <c r="DA247" s="399">
        <v>0</v>
      </c>
      <c r="DB247" s="399">
        <v>0</v>
      </c>
      <c r="DC247" s="399">
        <v>26.418459496940585</v>
      </c>
      <c r="DD247" s="399">
        <v>0</v>
      </c>
      <c r="DE247" s="399">
        <v>0</v>
      </c>
      <c r="DF247" s="399">
        <v>0</v>
      </c>
      <c r="DG247" s="399">
        <v>0.26973938568664613</v>
      </c>
      <c r="DH247" s="399">
        <v>0</v>
      </c>
      <c r="DI247" s="399">
        <v>-2.4141756766682292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-0.29172857680684672</v>
      </c>
      <c r="DP247" s="399">
        <v>-7.4608877799970719E-2</v>
      </c>
      <c r="DQ247" s="399">
        <v>0</v>
      </c>
      <c r="DR247" s="399">
        <v>0</v>
      </c>
      <c r="DS247" s="399"/>
      <c r="DT247" s="399"/>
      <c r="DU247" s="399"/>
      <c r="DV247" s="399">
        <v>169.55505155280417</v>
      </c>
      <c r="DW247" s="399">
        <v>0</v>
      </c>
      <c r="DX247" s="399">
        <v>0</v>
      </c>
      <c r="DY247" s="399">
        <v>-74.416320000000042</v>
      </c>
      <c r="DZ247" s="399">
        <v>26.418960000000027</v>
      </c>
      <c r="EA247" s="399">
        <v>0</v>
      </c>
      <c r="EB247" s="399">
        <v>0</v>
      </c>
      <c r="EC247" s="399">
        <v>-74.396061030982011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216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954</v>
      </c>
      <c r="C248" s="399" t="s">
        <v>2361</v>
      </c>
      <c r="D248" s="399" t="s">
        <v>1824</v>
      </c>
      <c r="E248" s="399" t="s">
        <v>916</v>
      </c>
      <c r="F248" s="399" t="s">
        <v>1237</v>
      </c>
      <c r="G248" s="399" t="s">
        <v>1237</v>
      </c>
      <c r="H248" s="399" t="s">
        <v>1237</v>
      </c>
      <c r="I248" s="399" t="s">
        <v>1237</v>
      </c>
      <c r="J248" s="399" t="s">
        <v>2353</v>
      </c>
      <c r="K248" s="789">
        <v>44621</v>
      </c>
      <c r="L248" s="399">
        <v>0</v>
      </c>
      <c r="M248" s="399">
        <v>0</v>
      </c>
      <c r="N248" s="399">
        <v>0</v>
      </c>
      <c r="O248" s="399">
        <v>0</v>
      </c>
      <c r="P248" s="399">
        <v>0</v>
      </c>
      <c r="Q248" s="399">
        <v>0</v>
      </c>
      <c r="R248" s="399"/>
      <c r="S248" s="399"/>
      <c r="T248" s="399"/>
      <c r="U248" s="399"/>
      <c r="V248" s="399"/>
      <c r="W248" s="399"/>
      <c r="X248" s="399"/>
      <c r="Y248" s="399"/>
      <c r="Z248" s="399"/>
      <c r="AA248" s="399">
        <v>0</v>
      </c>
      <c r="AB248" s="399"/>
      <c r="AC248" s="399"/>
      <c r="AD248" s="399"/>
      <c r="AE248" s="399"/>
      <c r="AF248" s="399"/>
      <c r="AG248" s="399"/>
      <c r="AH248" s="399"/>
      <c r="AI248" s="399"/>
      <c r="AJ248" s="399"/>
      <c r="AK248" s="399"/>
      <c r="AL248" s="399"/>
      <c r="AM248" s="399"/>
      <c r="AN248" s="399"/>
      <c r="AO248" s="399"/>
      <c r="AP248" s="399"/>
      <c r="AQ248" s="399"/>
      <c r="AR248" s="399"/>
      <c r="AS248" s="399"/>
      <c r="AT248" s="399"/>
      <c r="AU248" s="399"/>
      <c r="AV248" s="399"/>
      <c r="AW248" s="399"/>
      <c r="AX248" s="399"/>
      <c r="AY248" s="399"/>
      <c r="AZ248" s="399">
        <v>0</v>
      </c>
      <c r="BA248" s="399"/>
      <c r="BB248" s="399"/>
      <c r="BC248" s="399"/>
      <c r="BD248" s="399"/>
      <c r="BE248" s="399"/>
      <c r="BF248" s="399"/>
      <c r="BG248" s="399"/>
      <c r="BH248" s="399"/>
      <c r="BI248" s="399">
        <v>0</v>
      </c>
      <c r="BJ248" s="399">
        <v>0</v>
      </c>
      <c r="BK248" s="399">
        <v>248.1</v>
      </c>
      <c r="BL248" s="399">
        <v>1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/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/>
      <c r="CJ248" s="399">
        <v>-0.03</v>
      </c>
      <c r="CK248" s="399"/>
      <c r="CL248" s="399"/>
      <c r="CM248" s="399"/>
      <c r="CN248" s="399"/>
      <c r="CO248" s="399">
        <v>0</v>
      </c>
      <c r="CP248" s="399">
        <v>0</v>
      </c>
      <c r="CQ248" s="399">
        <v>31</v>
      </c>
      <c r="CR248" s="399"/>
      <c r="CS248" s="399"/>
      <c r="CT248" s="399"/>
      <c r="CU248" s="399"/>
      <c r="CV248" s="399"/>
      <c r="CW248" s="399"/>
      <c r="CX248" s="399"/>
      <c r="CY248" s="399"/>
      <c r="CZ248" s="399"/>
      <c r="DA248" s="399"/>
      <c r="DB248" s="399"/>
      <c r="DC248" s="399"/>
      <c r="DD248" s="399"/>
      <c r="DE248" s="399"/>
      <c r="DF248" s="399"/>
      <c r="DG248" s="399"/>
      <c r="DH248" s="399"/>
      <c r="DI248" s="399"/>
      <c r="DJ248" s="399"/>
      <c r="DK248" s="399">
        <v>0</v>
      </c>
      <c r="DL248" s="399"/>
      <c r="DM248" s="399"/>
      <c r="DN248" s="399"/>
      <c r="DO248" s="399"/>
      <c r="DP248" s="399"/>
      <c r="DQ248" s="399"/>
      <c r="DR248" s="399"/>
      <c r="DS248" s="399"/>
      <c r="DT248" s="399"/>
      <c r="DU248" s="399"/>
      <c r="DV248" s="399"/>
      <c r="DW248" s="399"/>
      <c r="DX248" s="399"/>
      <c r="DY248" s="399"/>
      <c r="DZ248" s="399"/>
      <c r="EA248" s="399"/>
      <c r="EB248" s="399"/>
      <c r="EC248" s="399"/>
      <c r="ED248" s="399"/>
      <c r="EE248" s="399"/>
      <c r="EF248" s="399"/>
      <c r="EG248" s="399"/>
      <c r="EH248" s="399"/>
      <c r="EI248" s="399"/>
      <c r="EJ248" s="399"/>
      <c r="EK248" s="399"/>
      <c r="EL248" s="399"/>
      <c r="EM248" s="399"/>
      <c r="EN248" s="399"/>
      <c r="EO248" s="399"/>
      <c r="EP248" s="399"/>
      <c r="EQ248" s="399"/>
      <c r="ER248" s="399"/>
      <c r="ES248" s="399"/>
      <c r="ET248" s="399"/>
      <c r="EU248" s="399"/>
      <c r="EV248" s="399">
        <v>216</v>
      </c>
      <c r="EW248" s="399"/>
      <c r="EX248" s="399"/>
      <c r="EY248" s="399"/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954</v>
      </c>
      <c r="C249" s="399" t="s">
        <v>2361</v>
      </c>
      <c r="D249" s="399" t="s">
        <v>1824</v>
      </c>
      <c r="E249" s="399" t="s">
        <v>916</v>
      </c>
      <c r="F249" s="399" t="s">
        <v>1237</v>
      </c>
      <c r="G249" s="399" t="s">
        <v>1237</v>
      </c>
      <c r="H249" s="399" t="s">
        <v>1237</v>
      </c>
      <c r="I249" s="399" t="s">
        <v>2362</v>
      </c>
      <c r="J249" s="399" t="s">
        <v>2353</v>
      </c>
      <c r="K249" s="789">
        <v>44621</v>
      </c>
      <c r="L249" s="399">
        <v>0</v>
      </c>
      <c r="M249" s="399">
        <v>0</v>
      </c>
      <c r="N249" s="399">
        <v>5.1999999999999998E-2</v>
      </c>
      <c r="O249" s="399">
        <v>5.1999999999999998E-2</v>
      </c>
      <c r="P249" s="399">
        <v>5.1999999999999998E-2</v>
      </c>
      <c r="Q249" s="399">
        <v>5.1999999999999998E-2</v>
      </c>
      <c r="R249" s="399"/>
      <c r="S249" s="399">
        <v>782.07</v>
      </c>
      <c r="T249" s="399">
        <v>215.17</v>
      </c>
      <c r="U249" s="399"/>
      <c r="V249" s="399">
        <v>51.856479999999998</v>
      </c>
      <c r="W249" s="399">
        <v>51.856479999999998</v>
      </c>
      <c r="X249" s="399">
        <v>41.595320000000001</v>
      </c>
      <c r="Y249" s="399">
        <v>0</v>
      </c>
      <c r="Z249" s="399">
        <v>3.1765031008977345</v>
      </c>
      <c r="AA249" s="399">
        <v>0</v>
      </c>
      <c r="AB249" s="399">
        <v>0</v>
      </c>
      <c r="AC249" s="399">
        <v>0</v>
      </c>
      <c r="AD249" s="399">
        <v>9.6144963196870119</v>
      </c>
      <c r="AE249" s="399">
        <v>27.212509039628795</v>
      </c>
      <c r="AF249" s="399">
        <v>10.959620754402373</v>
      </c>
      <c r="AG249" s="399">
        <v>0.22916267061879411</v>
      </c>
      <c r="AH249" s="399">
        <v>0</v>
      </c>
      <c r="AI249" s="399">
        <v>0</v>
      </c>
      <c r="AJ249" s="399">
        <v>0</v>
      </c>
      <c r="AK249" s="399">
        <v>0</v>
      </c>
      <c r="AL249" s="399">
        <v>0.49085121058429665</v>
      </c>
      <c r="AM249" s="399"/>
      <c r="AN249" s="399">
        <v>6.1224668899701316E-2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0.11190059624761263</v>
      </c>
      <c r="BH249" s="399">
        <v>0</v>
      </c>
      <c r="BI249" s="399">
        <v>0</v>
      </c>
      <c r="BJ249" s="399">
        <v>0</v>
      </c>
      <c r="BK249" s="399">
        <v>0</v>
      </c>
      <c r="BL249" s="399">
        <v>0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11.071521350649986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39.9955</v>
      </c>
      <c r="CJ249" s="399">
        <v>-11.890979999999992</v>
      </c>
      <c r="CK249" s="399"/>
      <c r="CL249" s="399"/>
      <c r="CM249" s="399"/>
      <c r="CN249" s="399"/>
      <c r="CO249" s="399">
        <v>-11.674520000000005</v>
      </c>
      <c r="CP249" s="399">
        <v>1.4133600000000004</v>
      </c>
      <c r="CQ249" s="399">
        <v>31</v>
      </c>
      <c r="CR249" s="399">
        <v>1.6791883104818162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0.40017631555350874</v>
      </c>
      <c r="DA249" s="399">
        <v>0</v>
      </c>
      <c r="DB249" s="399">
        <v>0</v>
      </c>
      <c r="DC249" s="399">
        <v>1.4133332241161636</v>
      </c>
      <c r="DD249" s="399">
        <v>0</v>
      </c>
      <c r="DE249" s="399">
        <v>0</v>
      </c>
      <c r="DF249" s="399">
        <v>0</v>
      </c>
      <c r="DG249" s="399">
        <v>1.4430502114923457E-2</v>
      </c>
      <c r="DH249" s="399">
        <v>0</v>
      </c>
      <c r="DI249" s="399">
        <v>-0.12915343126208656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-1.5606878594604967E-2</v>
      </c>
      <c r="DP249" s="399">
        <v>-3.9914214460889663E-3</v>
      </c>
      <c r="DQ249" s="399">
        <v>0</v>
      </c>
      <c r="DR249" s="399">
        <v>0</v>
      </c>
      <c r="DS249" s="399"/>
      <c r="DT249" s="399"/>
      <c r="DU249" s="399"/>
      <c r="DV249" s="399">
        <v>27.212509039628795</v>
      </c>
      <c r="DW249" s="399">
        <v>0</v>
      </c>
      <c r="DX249" s="399">
        <v>0</v>
      </c>
      <c r="DY249" s="399">
        <v>-11.674520000000001</v>
      </c>
      <c r="DZ249" s="399">
        <v>1.4133600000000008</v>
      </c>
      <c r="EA249" s="399">
        <v>0</v>
      </c>
      <c r="EB249" s="399">
        <v>0</v>
      </c>
      <c r="EC249" s="399">
        <v>-11.940095354150445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216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954</v>
      </c>
      <c r="C250" s="399" t="s">
        <v>2352</v>
      </c>
      <c r="D250" s="399" t="s">
        <v>2363</v>
      </c>
      <c r="E250" s="399" t="s">
        <v>892</v>
      </c>
      <c r="F250" s="399" t="s">
        <v>1237</v>
      </c>
      <c r="G250" s="399" t="s">
        <v>1237</v>
      </c>
      <c r="H250" s="399" t="s">
        <v>1237</v>
      </c>
      <c r="I250" s="399" t="s">
        <v>1237</v>
      </c>
      <c r="J250" s="399" t="s">
        <v>2353</v>
      </c>
      <c r="K250" s="789">
        <v>44621</v>
      </c>
      <c r="L250" s="399">
        <v>0</v>
      </c>
      <c r="M250" s="399">
        <v>0</v>
      </c>
      <c r="N250" s="399">
        <v>463.68700000000001</v>
      </c>
      <c r="O250" s="399">
        <v>463.68700000000001</v>
      </c>
      <c r="P250" s="399">
        <v>463.68700000000001</v>
      </c>
      <c r="Q250" s="399">
        <v>463.68700000000001</v>
      </c>
      <c r="R250" s="399"/>
      <c r="S250" s="399">
        <v>415.98</v>
      </c>
      <c r="T250" s="399">
        <v>215.17</v>
      </c>
      <c r="U250" s="399"/>
      <c r="V250" s="399">
        <v>292656.05005000002</v>
      </c>
      <c r="W250" s="399">
        <v>292656.05005000002</v>
      </c>
      <c r="X250" s="399">
        <v>254350.86697999999</v>
      </c>
      <c r="Y250" s="399">
        <v>0</v>
      </c>
      <c r="Z250" s="399">
        <v>28325.061410499384</v>
      </c>
      <c r="AA250" s="399">
        <v>0</v>
      </c>
      <c r="AB250" s="399">
        <v>0</v>
      </c>
      <c r="AC250" s="399">
        <v>0</v>
      </c>
      <c r="AD250" s="399">
        <v>41414.472140238562</v>
      </c>
      <c r="AE250" s="399">
        <v>117224.93850977585</v>
      </c>
      <c r="AF250" s="399">
        <v>97727.57055281871</v>
      </c>
      <c r="AG250" s="399">
        <v>2043.4567548310922</v>
      </c>
      <c r="AH250" s="399">
        <v>0</v>
      </c>
      <c r="AI250" s="399">
        <v>0</v>
      </c>
      <c r="AJ250" s="399">
        <v>0</v>
      </c>
      <c r="AK250" s="399">
        <v>0</v>
      </c>
      <c r="AL250" s="399">
        <v>4376.9485631192456</v>
      </c>
      <c r="AM250" s="399"/>
      <c r="AN250" s="399">
        <v>545.94390477107322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997.82407254359157</v>
      </c>
      <c r="BH250" s="399">
        <v>0</v>
      </c>
      <c r="BI250" s="399">
        <v>0</v>
      </c>
      <c r="BJ250" s="399">
        <v>0</v>
      </c>
      <c r="BK250" s="399">
        <v>63216.800000000003</v>
      </c>
      <c r="BL250" s="399">
        <v>1623</v>
      </c>
      <c r="BM250" s="399"/>
      <c r="BN250" s="399"/>
      <c r="BO250" s="399"/>
      <c r="BP250" s="399"/>
      <c r="BQ250" s="399"/>
      <c r="BR250" s="399">
        <v>30519.878339999999</v>
      </c>
      <c r="BS250" s="399"/>
      <c r="BT250" s="399"/>
      <c r="BU250" s="399"/>
      <c r="BV250" s="399">
        <v>98725.3946253623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223832.4368</v>
      </c>
      <c r="CJ250" s="399">
        <v>-33703.989870000019</v>
      </c>
      <c r="CK250" s="399"/>
      <c r="CL250" s="399"/>
      <c r="CM250" s="399"/>
      <c r="CN250" s="399"/>
      <c r="CO250" s="399">
        <v>-50908.195730000014</v>
      </c>
      <c r="CP250" s="399">
        <v>12603.012660000004</v>
      </c>
      <c r="CQ250" s="399">
        <v>31</v>
      </c>
      <c r="CR250" s="399">
        <v>13128.78444434132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1723.7606964120423</v>
      </c>
      <c r="DA250" s="399">
        <v>0</v>
      </c>
      <c r="DB250" s="399">
        <v>0</v>
      </c>
      <c r="DC250" s="399">
        <v>12602.773897899067</v>
      </c>
      <c r="DD250" s="399">
        <v>0</v>
      </c>
      <c r="DE250" s="399">
        <v>0</v>
      </c>
      <c r="DF250" s="399">
        <v>0</v>
      </c>
      <c r="DG250" s="399">
        <v>128.67761988774066</v>
      </c>
      <c r="DH250" s="399">
        <v>0</v>
      </c>
      <c r="DI250" s="399">
        <v>-1151.6685977235211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-139.16743682493416</v>
      </c>
      <c r="DP250" s="399">
        <v>-35.591735309089529</v>
      </c>
      <c r="DQ250" s="399">
        <v>0</v>
      </c>
      <c r="DR250" s="399">
        <v>0</v>
      </c>
      <c r="DS250" s="399"/>
      <c r="DT250" s="399"/>
      <c r="DU250" s="399"/>
      <c r="DV250" s="399">
        <v>117224.93850977585</v>
      </c>
      <c r="DW250" s="399">
        <v>0</v>
      </c>
      <c r="DX250" s="399">
        <v>0</v>
      </c>
      <c r="DY250" s="399">
        <v>-50908.195730000007</v>
      </c>
      <c r="DZ250" s="399">
        <v>12603.012660000008</v>
      </c>
      <c r="EA250" s="399">
        <v>0</v>
      </c>
      <c r="EB250" s="399">
        <v>0</v>
      </c>
      <c r="EC250" s="399">
        <v>-51435.056637108879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216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2354</v>
      </c>
      <c r="C251" s="399" t="s">
        <v>2352</v>
      </c>
      <c r="D251" s="399" t="s">
        <v>2363</v>
      </c>
      <c r="E251" s="399" t="s">
        <v>892</v>
      </c>
      <c r="F251" s="399" t="s">
        <v>1237</v>
      </c>
      <c r="G251" s="399" t="s">
        <v>1237</v>
      </c>
      <c r="H251" s="399" t="s">
        <v>1237</v>
      </c>
      <c r="I251" s="399" t="s">
        <v>1237</v>
      </c>
      <c r="J251" s="399" t="s">
        <v>2353</v>
      </c>
      <c r="K251" s="789">
        <v>44621</v>
      </c>
      <c r="L251" s="399">
        <v>0</v>
      </c>
      <c r="M251" s="399">
        <v>0</v>
      </c>
      <c r="N251" s="399">
        <v>-0.53400000000000003</v>
      </c>
      <c r="O251" s="399">
        <v>-0.53400000000000003</v>
      </c>
      <c r="P251" s="399">
        <v>-0.53400000000000003</v>
      </c>
      <c r="Q251" s="399">
        <v>-0.53400000000000003</v>
      </c>
      <c r="R251" s="399"/>
      <c r="S251" s="399">
        <v>415.98</v>
      </c>
      <c r="T251" s="399">
        <v>215.17</v>
      </c>
      <c r="U251" s="399"/>
      <c r="V251" s="399">
        <v>-337.03410000000002</v>
      </c>
      <c r="W251" s="399">
        <v>-337.03410000000002</v>
      </c>
      <c r="X251" s="399">
        <v>-292.92036000000002</v>
      </c>
      <c r="Y251" s="399">
        <v>0</v>
      </c>
      <c r="Z251" s="399">
        <v>-32.620243382295968</v>
      </c>
      <c r="AA251" s="399">
        <v>0</v>
      </c>
      <c r="AB251" s="399">
        <v>0</v>
      </c>
      <c r="AC251" s="399">
        <v>0</v>
      </c>
      <c r="AD251" s="399">
        <v>-47.694518334323348</v>
      </c>
      <c r="AE251" s="399">
        <v>-135.00080261948318</v>
      </c>
      <c r="AF251" s="399">
        <v>-112.54687467020899</v>
      </c>
      <c r="AG251" s="399">
        <v>-2.3533243482776167</v>
      </c>
      <c r="AH251" s="399">
        <v>0</v>
      </c>
      <c r="AI251" s="399">
        <v>0</v>
      </c>
      <c r="AJ251" s="399">
        <v>0</v>
      </c>
      <c r="AK251" s="399">
        <v>0</v>
      </c>
      <c r="AL251" s="399">
        <v>-5.0406643548464309</v>
      </c>
      <c r="AM251" s="399"/>
      <c r="AN251" s="399">
        <v>-0.62873025370077895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-1.149133046081253</v>
      </c>
      <c r="BH251" s="399">
        <v>0</v>
      </c>
      <c r="BI251" s="399">
        <v>0</v>
      </c>
      <c r="BJ251" s="399">
        <v>0</v>
      </c>
      <c r="BK251" s="399">
        <v>-50.28</v>
      </c>
      <c r="BL251" s="399">
        <v>0</v>
      </c>
      <c r="BM251" s="399"/>
      <c r="BN251" s="399"/>
      <c r="BO251" s="399"/>
      <c r="BP251" s="399"/>
      <c r="BQ251" s="399"/>
      <c r="BR251" s="399">
        <v>-35.147880000000001</v>
      </c>
      <c r="BS251" s="399"/>
      <c r="BT251" s="399"/>
      <c r="BU251" s="399"/>
      <c r="BV251" s="399">
        <v>-113.69600771629024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-255.84160000000003</v>
      </c>
      <c r="CJ251" s="399">
        <v>40.717339999999979</v>
      </c>
      <c r="CK251" s="399"/>
      <c r="CL251" s="399"/>
      <c r="CM251" s="399"/>
      <c r="CN251" s="399"/>
      <c r="CO251" s="399">
        <v>58.627860000000013</v>
      </c>
      <c r="CP251" s="399">
        <v>-14.514120000000004</v>
      </c>
      <c r="CQ251" s="399">
        <v>31</v>
      </c>
      <c r="CR251" s="399">
        <v>-15.119619254536474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-1.9851499220034938</v>
      </c>
      <c r="DA251" s="399">
        <v>0</v>
      </c>
      <c r="DB251" s="399">
        <v>0</v>
      </c>
      <c r="DC251" s="399">
        <v>-14.513845032269828</v>
      </c>
      <c r="DD251" s="399">
        <v>0</v>
      </c>
      <c r="DE251" s="399">
        <v>0</v>
      </c>
      <c r="DF251" s="399">
        <v>0</v>
      </c>
      <c r="DG251" s="399">
        <v>-0.14819015633402155</v>
      </c>
      <c r="DH251" s="399">
        <v>0</v>
      </c>
      <c r="DI251" s="399">
        <v>1.3263063902683498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0.16027063787536555</v>
      </c>
      <c r="DP251" s="399">
        <v>4.0988827927144311E-2</v>
      </c>
      <c r="DQ251" s="399">
        <v>0</v>
      </c>
      <c r="DR251" s="399">
        <v>0</v>
      </c>
      <c r="DS251" s="399"/>
      <c r="DT251" s="399"/>
      <c r="DU251" s="399"/>
      <c r="DV251" s="399">
        <v>-135.00080261948318</v>
      </c>
      <c r="DW251" s="399">
        <v>0</v>
      </c>
      <c r="DX251" s="399">
        <v>0</v>
      </c>
      <c r="DY251" s="399">
        <v>58.627860000000027</v>
      </c>
      <c r="DZ251" s="399">
        <v>-14.51412000000002</v>
      </c>
      <c r="EA251" s="399">
        <v>0</v>
      </c>
      <c r="EB251" s="399">
        <v>0</v>
      </c>
      <c r="EC251" s="399">
        <v>59.234613530713901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216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2355</v>
      </c>
      <c r="C252" s="399" t="s">
        <v>2352</v>
      </c>
      <c r="D252" s="399" t="s">
        <v>2363</v>
      </c>
      <c r="E252" s="399" t="s">
        <v>892</v>
      </c>
      <c r="F252" s="399" t="s">
        <v>1237</v>
      </c>
      <c r="G252" s="399" t="s">
        <v>1237</v>
      </c>
      <c r="H252" s="399" t="s">
        <v>1237</v>
      </c>
      <c r="I252" s="399" t="s">
        <v>1237</v>
      </c>
      <c r="J252" s="399" t="s">
        <v>2353</v>
      </c>
      <c r="K252" s="789">
        <v>44621</v>
      </c>
      <c r="L252" s="399">
        <v>0</v>
      </c>
      <c r="M252" s="399">
        <v>0</v>
      </c>
      <c r="N252" s="399">
        <v>2.7160000000000002</v>
      </c>
      <c r="O252" s="399">
        <v>2.7160000000000002</v>
      </c>
      <c r="P252" s="399">
        <v>2.7160000000000002</v>
      </c>
      <c r="Q252" s="399">
        <v>2.7160000000000002</v>
      </c>
      <c r="R252" s="399"/>
      <c r="S252" s="399">
        <v>415.98</v>
      </c>
      <c r="T252" s="399">
        <v>215.17</v>
      </c>
      <c r="U252" s="399"/>
      <c r="V252" s="399">
        <v>1714.2033999999999</v>
      </c>
      <c r="W252" s="399">
        <v>1714.2033999999999</v>
      </c>
      <c r="X252" s="399">
        <v>1489.83464</v>
      </c>
      <c r="Y252" s="399">
        <v>0</v>
      </c>
      <c r="Z252" s="399">
        <v>165.91120042381246</v>
      </c>
      <c r="AA252" s="399">
        <v>0</v>
      </c>
      <c r="AB252" s="399">
        <v>0</v>
      </c>
      <c r="AC252" s="399">
        <v>0</v>
      </c>
      <c r="AD252" s="399">
        <v>242.58110823225135</v>
      </c>
      <c r="AE252" s="399">
        <v>686.63329572006808</v>
      </c>
      <c r="AF252" s="399">
        <v>572.42942247993938</v>
      </c>
      <c r="AG252" s="399">
        <v>11.969342565397017</v>
      </c>
      <c r="AH252" s="399">
        <v>0</v>
      </c>
      <c r="AI252" s="399">
        <v>0</v>
      </c>
      <c r="AJ252" s="399">
        <v>0</v>
      </c>
      <c r="AK252" s="399">
        <v>0</v>
      </c>
      <c r="AL252" s="399">
        <v>25.637536306672111</v>
      </c>
      <c r="AM252" s="399"/>
      <c r="AN252" s="399">
        <v>3.1978115525305539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5.8446542193945374</v>
      </c>
      <c r="BH252" s="399">
        <v>0</v>
      </c>
      <c r="BI252" s="399">
        <v>0</v>
      </c>
      <c r="BJ252" s="399">
        <v>0</v>
      </c>
      <c r="BK252" s="399">
        <v>2745.74</v>
      </c>
      <c r="BL252" s="399">
        <v>19</v>
      </c>
      <c r="BM252" s="399"/>
      <c r="BN252" s="399"/>
      <c r="BO252" s="399"/>
      <c r="BP252" s="399"/>
      <c r="BQ252" s="399"/>
      <c r="BR252" s="399">
        <v>178.76711999999998</v>
      </c>
      <c r="BS252" s="399"/>
      <c r="BT252" s="399"/>
      <c r="BU252" s="399"/>
      <c r="BV252" s="399">
        <v>578.27407669933393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1312.9983999999999</v>
      </c>
      <c r="CJ252" s="399">
        <v>-195.52516000000014</v>
      </c>
      <c r="CK252" s="399"/>
      <c r="CL252" s="399"/>
      <c r="CM252" s="399"/>
      <c r="CN252" s="399"/>
      <c r="CO252" s="399">
        <v>-298.18964000000005</v>
      </c>
      <c r="CP252" s="399">
        <v>73.820880000000017</v>
      </c>
      <c r="CQ252" s="399">
        <v>31</v>
      </c>
      <c r="CR252" s="399">
        <v>76.900535384496152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10.096755034010272</v>
      </c>
      <c r="DA252" s="399">
        <v>0</v>
      </c>
      <c r="DB252" s="399">
        <v>0</v>
      </c>
      <c r="DC252" s="399">
        <v>73.819481474990312</v>
      </c>
      <c r="DD252" s="399">
        <v>0</v>
      </c>
      <c r="DE252" s="399">
        <v>0</v>
      </c>
      <c r="DF252" s="399">
        <v>0</v>
      </c>
      <c r="DG252" s="399">
        <v>0.75371622584869424</v>
      </c>
      <c r="DH252" s="399">
        <v>0</v>
      </c>
      <c r="DI252" s="399">
        <v>-6.7457830636120661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-0.81515927428744206</v>
      </c>
      <c r="DP252" s="399">
        <v>-0.20847501245341604</v>
      </c>
      <c r="DQ252" s="399">
        <v>0</v>
      </c>
      <c r="DR252" s="399">
        <v>0</v>
      </c>
      <c r="DS252" s="399"/>
      <c r="DT252" s="399"/>
      <c r="DU252" s="399"/>
      <c r="DV252" s="399">
        <v>686.63329572006808</v>
      </c>
      <c r="DW252" s="399">
        <v>0</v>
      </c>
      <c r="DX252" s="399">
        <v>0</v>
      </c>
      <c r="DY252" s="399">
        <v>-298.18963999999994</v>
      </c>
      <c r="DZ252" s="399">
        <v>73.820880000000102</v>
      </c>
      <c r="EA252" s="399">
        <v>0</v>
      </c>
      <c r="EB252" s="399">
        <v>0</v>
      </c>
      <c r="EC252" s="399">
        <v>-301.27567481164607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216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954</v>
      </c>
      <c r="C253" s="399" t="s">
        <v>2352</v>
      </c>
      <c r="D253" s="399" t="s">
        <v>1824</v>
      </c>
      <c r="E253" s="399" t="s">
        <v>2364</v>
      </c>
      <c r="F253" s="399" t="s">
        <v>1237</v>
      </c>
      <c r="G253" s="399" t="s">
        <v>1237</v>
      </c>
      <c r="H253" s="399" t="s">
        <v>1237</v>
      </c>
      <c r="I253" s="399" t="s">
        <v>1237</v>
      </c>
      <c r="J253" s="399" t="s">
        <v>2353</v>
      </c>
      <c r="K253" s="789">
        <v>44621</v>
      </c>
      <c r="L253" s="399">
        <v>0</v>
      </c>
      <c r="M253" s="399">
        <v>0</v>
      </c>
      <c r="N253" s="399">
        <v>44.542000000000002</v>
      </c>
      <c r="O253" s="399">
        <v>44.542000000000002</v>
      </c>
      <c r="P253" s="399">
        <v>44.542000000000002</v>
      </c>
      <c r="Q253" s="399">
        <v>44.542000000000002</v>
      </c>
      <c r="R253" s="399"/>
      <c r="S253" s="399">
        <v>415.98</v>
      </c>
      <c r="T253" s="399">
        <v>215.17</v>
      </c>
      <c r="U253" s="399"/>
      <c r="V253" s="399">
        <v>28112.683300000001</v>
      </c>
      <c r="W253" s="399">
        <v>28112.683300000001</v>
      </c>
      <c r="X253" s="399">
        <v>24433.06868</v>
      </c>
      <c r="Y253" s="399">
        <v>0</v>
      </c>
      <c r="Z253" s="399">
        <v>2720.9192523112865</v>
      </c>
      <c r="AA253" s="399">
        <v>0</v>
      </c>
      <c r="AB253" s="399">
        <v>0</v>
      </c>
      <c r="AC253" s="399">
        <v>0</v>
      </c>
      <c r="AD253" s="399">
        <v>3978.29444877796</v>
      </c>
      <c r="AE253" s="399">
        <v>11260.684925612397</v>
      </c>
      <c r="AF253" s="399">
        <v>9387.7582238959712</v>
      </c>
      <c r="AG253" s="399">
        <v>196.29545528273709</v>
      </c>
      <c r="AH253" s="399">
        <v>0</v>
      </c>
      <c r="AI253" s="399">
        <v>0</v>
      </c>
      <c r="AJ253" s="399">
        <v>0</v>
      </c>
      <c r="AK253" s="399">
        <v>0</v>
      </c>
      <c r="AL253" s="399">
        <v>420.45181965087966</v>
      </c>
      <c r="AM253" s="399"/>
      <c r="AN253" s="399">
        <v>52.443638502509543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95.851468424253113</v>
      </c>
      <c r="BH253" s="399">
        <v>0</v>
      </c>
      <c r="BI253" s="399">
        <v>0</v>
      </c>
      <c r="BJ253" s="399">
        <v>0</v>
      </c>
      <c r="BK253" s="399">
        <v>8420.5499999999993</v>
      </c>
      <c r="BL253" s="399">
        <v>49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9483.609692320224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24431.971600000001</v>
      </c>
      <c r="CJ253" s="399">
        <v>-3680.741699999995</v>
      </c>
      <c r="CK253" s="399"/>
      <c r="CL253" s="399"/>
      <c r="CM253" s="399"/>
      <c r="CN253" s="399"/>
      <c r="CO253" s="399">
        <v>-4890.2661800000014</v>
      </c>
      <c r="CP253" s="399">
        <v>1210.6515600000002</v>
      </c>
      <c r="CQ253" s="399">
        <v>31</v>
      </c>
      <c r="CR253" s="399">
        <v>1261.1574547482451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165.58529555408177</v>
      </c>
      <c r="DA253" s="399">
        <v>0</v>
      </c>
      <c r="DB253" s="399">
        <v>0</v>
      </c>
      <c r="DC253" s="399">
        <v>1210.6286243958111</v>
      </c>
      <c r="DD253" s="399">
        <v>0</v>
      </c>
      <c r="DE253" s="399">
        <v>0</v>
      </c>
      <c r="DF253" s="399">
        <v>0</v>
      </c>
      <c r="DG253" s="399">
        <v>12.360835100056164</v>
      </c>
      <c r="DH253" s="399">
        <v>0</v>
      </c>
      <c r="DI253" s="399">
        <v>-110.62984875530492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-13.368492045401808</v>
      </c>
      <c r="DP253" s="399">
        <v>-3.4189595009941272</v>
      </c>
      <c r="DQ253" s="399">
        <v>0</v>
      </c>
      <c r="DR253" s="399">
        <v>0</v>
      </c>
      <c r="DS253" s="399"/>
      <c r="DT253" s="399"/>
      <c r="DU253" s="399"/>
      <c r="DV253" s="399">
        <v>11260.684925612397</v>
      </c>
      <c r="DW253" s="399">
        <v>0</v>
      </c>
      <c r="DX253" s="399">
        <v>0</v>
      </c>
      <c r="DY253" s="399">
        <v>-4890.2661800000005</v>
      </c>
      <c r="DZ253" s="399">
        <v>1210.6515600000002</v>
      </c>
      <c r="EA253" s="399">
        <v>0</v>
      </c>
      <c r="EB253" s="399">
        <v>0</v>
      </c>
      <c r="EC253" s="399">
        <v>-4940.8766964139677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216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954</v>
      </c>
      <c r="C254" s="399" t="s">
        <v>2352</v>
      </c>
      <c r="D254" s="399" t="s">
        <v>2365</v>
      </c>
      <c r="E254" s="399" t="s">
        <v>2366</v>
      </c>
      <c r="F254" s="399" t="s">
        <v>2367</v>
      </c>
      <c r="G254" s="399" t="s">
        <v>1237</v>
      </c>
      <c r="H254" s="399" t="s">
        <v>1237</v>
      </c>
      <c r="I254" s="399" t="s">
        <v>1237</v>
      </c>
      <c r="J254" s="399" t="s">
        <v>2353</v>
      </c>
      <c r="K254" s="789">
        <v>44621</v>
      </c>
      <c r="L254" s="399">
        <v>0</v>
      </c>
      <c r="M254" s="399">
        <v>0</v>
      </c>
      <c r="N254" s="399">
        <v>92.998999999999995</v>
      </c>
      <c r="O254" s="399">
        <v>92.998999999999995</v>
      </c>
      <c r="P254" s="399">
        <v>92.998999999999995</v>
      </c>
      <c r="Q254" s="399">
        <v>92.998999999999995</v>
      </c>
      <c r="R254" s="399"/>
      <c r="S254" s="399">
        <v>228.79</v>
      </c>
      <c r="T254" s="399">
        <v>118.34</v>
      </c>
      <c r="U254" s="399"/>
      <c r="V254" s="399">
        <v>32282.742869999995</v>
      </c>
      <c r="W254" s="399">
        <v>32282.742869999995</v>
      </c>
      <c r="X254" s="399">
        <v>28056.868309999998</v>
      </c>
      <c r="Y254" s="399">
        <v>0</v>
      </c>
      <c r="Z254" s="399">
        <v>3124.5458948887181</v>
      </c>
      <c r="AA254" s="399">
        <v>0</v>
      </c>
      <c r="AB254" s="399">
        <v>0</v>
      </c>
      <c r="AC254" s="399">
        <v>0</v>
      </c>
      <c r="AD254" s="399">
        <v>4568.4426607032919</v>
      </c>
      <c r="AE254" s="399">
        <v>12931.117609635086</v>
      </c>
      <c r="AF254" s="399">
        <v>10780.357188389688</v>
      </c>
      <c r="AG254" s="399">
        <v>225.41431851312501</v>
      </c>
      <c r="AH254" s="399">
        <v>0</v>
      </c>
      <c r="AI254" s="399">
        <v>0</v>
      </c>
      <c r="AJ254" s="399">
        <v>0</v>
      </c>
      <c r="AK254" s="399">
        <v>0</v>
      </c>
      <c r="AL254" s="399">
        <v>482.82248948501865</v>
      </c>
      <c r="AM254" s="399"/>
      <c r="AN254" s="399">
        <v>60.223233474073844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110.07026832187347</v>
      </c>
      <c r="BH254" s="399">
        <v>0</v>
      </c>
      <c r="BI254" s="399">
        <v>0</v>
      </c>
      <c r="BJ254" s="399">
        <v>0</v>
      </c>
      <c r="BK254" s="399">
        <v>13753.48</v>
      </c>
      <c r="BL254" s="399">
        <v>88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10890.427456711561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28057.17</v>
      </c>
      <c r="CJ254" s="399">
        <v>-4225.6028699999915</v>
      </c>
      <c r="CK254" s="399"/>
      <c r="CL254" s="399"/>
      <c r="CM254" s="399"/>
      <c r="CN254" s="399"/>
      <c r="CO254" s="399">
        <v>-5616.2096099999981</v>
      </c>
      <c r="CP254" s="399">
        <v>1390.3350499999988</v>
      </c>
      <c r="CQ254" s="399">
        <v>31</v>
      </c>
      <c r="CR254" s="399">
        <v>1448.2400919082102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190.14855183149575</v>
      </c>
      <c r="DA254" s="399">
        <v>0</v>
      </c>
      <c r="DB254" s="399">
        <v>0</v>
      </c>
      <c r="DC254" s="399">
        <v>1390.2157130821452</v>
      </c>
      <c r="DD254" s="399">
        <v>0</v>
      </c>
      <c r="DE254" s="399">
        <v>0</v>
      </c>
      <c r="DF254" s="399">
        <v>0</v>
      </c>
      <c r="DG254" s="399">
        <v>14.19446627696567</v>
      </c>
      <c r="DH254" s="399">
        <v>0</v>
      </c>
      <c r="DI254" s="399">
        <v>-127.04090335900491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-15.351601083285516</v>
      </c>
      <c r="DP254" s="399">
        <v>-3.9261348401089364</v>
      </c>
      <c r="DQ254" s="399">
        <v>0</v>
      </c>
      <c r="DR254" s="399">
        <v>0</v>
      </c>
      <c r="DS254" s="399"/>
      <c r="DT254" s="399"/>
      <c r="DU254" s="399"/>
      <c r="DV254" s="399">
        <v>12931.117609635086</v>
      </c>
      <c r="DW254" s="399">
        <v>0</v>
      </c>
      <c r="DX254" s="399">
        <v>0</v>
      </c>
      <c r="DY254" s="399">
        <v>-5616.2096099999962</v>
      </c>
      <c r="DZ254" s="399">
        <v>1390.3350499999979</v>
      </c>
      <c r="EA254" s="399">
        <v>0</v>
      </c>
      <c r="EB254" s="399">
        <v>0</v>
      </c>
      <c r="EC254" s="399">
        <v>-5673.8162978625187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216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954</v>
      </c>
      <c r="C255" s="399" t="s">
        <v>2352</v>
      </c>
      <c r="D255" s="399" t="s">
        <v>1824</v>
      </c>
      <c r="E255" s="399" t="s">
        <v>919</v>
      </c>
      <c r="F255" s="399" t="s">
        <v>2368</v>
      </c>
      <c r="G255" s="399" t="s">
        <v>1237</v>
      </c>
      <c r="H255" s="399" t="s">
        <v>1237</v>
      </c>
      <c r="I255" s="399" t="s">
        <v>1237</v>
      </c>
      <c r="J255" s="399" t="s">
        <v>2353</v>
      </c>
      <c r="K255" s="789">
        <v>44621</v>
      </c>
      <c r="L255" s="399">
        <v>0</v>
      </c>
      <c r="M255" s="399">
        <v>0</v>
      </c>
      <c r="N255" s="399">
        <v>17.375</v>
      </c>
      <c r="O255" s="399">
        <v>16.3325</v>
      </c>
      <c r="P255" s="399">
        <v>17.375</v>
      </c>
      <c r="Q255" s="399">
        <v>16.3325</v>
      </c>
      <c r="R255" s="399"/>
      <c r="S255" s="399">
        <v>415.98</v>
      </c>
      <c r="T255" s="399">
        <v>215.17</v>
      </c>
      <c r="U255" s="399"/>
      <c r="V255" s="399">
        <v>10966.231250000001</v>
      </c>
      <c r="W255" s="399">
        <v>10966.231250000001</v>
      </c>
      <c r="X255" s="399">
        <v>9530.8824999999997</v>
      </c>
      <c r="Y255" s="399">
        <v>0</v>
      </c>
      <c r="Z255" s="399">
        <v>1061.3796418865027</v>
      </c>
      <c r="AA255" s="399">
        <v>0</v>
      </c>
      <c r="AB255" s="399">
        <v>0</v>
      </c>
      <c r="AC255" s="399">
        <v>0</v>
      </c>
      <c r="AD255" s="399">
        <v>1551.8581574136108</v>
      </c>
      <c r="AE255" s="399">
        <v>4392.5822949691392</v>
      </c>
      <c r="AF255" s="399">
        <v>3661.9886655334849</v>
      </c>
      <c r="AG255" s="399">
        <v>76.571180807722072</v>
      </c>
      <c r="AH255" s="399">
        <v>0</v>
      </c>
      <c r="AI255" s="399">
        <v>0</v>
      </c>
      <c r="AJ255" s="399">
        <v>0</v>
      </c>
      <c r="AK255" s="399">
        <v>0</v>
      </c>
      <c r="AL255" s="399">
        <v>164.0103804596568</v>
      </c>
      <c r="AM255" s="399"/>
      <c r="AN255" s="399">
        <v>20.457281194852126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37.389862688505183</v>
      </c>
      <c r="BH255" s="399">
        <v>0</v>
      </c>
      <c r="BI255" s="399">
        <v>0</v>
      </c>
      <c r="BJ255" s="399">
        <v>0</v>
      </c>
      <c r="BK255" s="399">
        <v>3999.35</v>
      </c>
      <c r="BL255" s="399">
        <v>4</v>
      </c>
      <c r="BM255" s="399"/>
      <c r="BN255" s="399"/>
      <c r="BO255" s="399"/>
      <c r="BP255" s="399"/>
      <c r="BQ255" s="399">
        <v>571.85295000000019</v>
      </c>
      <c r="BR255" s="399"/>
      <c r="BS255" s="399"/>
      <c r="BT255" s="399"/>
      <c r="BU255" s="399"/>
      <c r="BV255" s="399">
        <v>3699.3785282219901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8957.658199999998</v>
      </c>
      <c r="CJ255" s="399">
        <v>-1350.6291750000019</v>
      </c>
      <c r="CK255" s="399"/>
      <c r="CL255" s="399"/>
      <c r="CM255" s="399"/>
      <c r="CN255" s="399"/>
      <c r="CO255" s="399">
        <v>-1907.6012500000004</v>
      </c>
      <c r="CP255" s="399">
        <v>472.25250000000011</v>
      </c>
      <c r="CQ255" s="399">
        <v>31</v>
      </c>
      <c r="CR255" s="399">
        <v>491.95390364713967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64.591722649458234</v>
      </c>
      <c r="DA255" s="399">
        <v>0</v>
      </c>
      <c r="DB255" s="399">
        <v>0</v>
      </c>
      <c r="DC255" s="399">
        <v>472.24355325035322</v>
      </c>
      <c r="DD255" s="399">
        <v>0</v>
      </c>
      <c r="DE255" s="399">
        <v>0</v>
      </c>
      <c r="DF255" s="399">
        <v>0</v>
      </c>
      <c r="DG255" s="399">
        <v>4.8217302739768257</v>
      </c>
      <c r="DH255" s="399">
        <v>0</v>
      </c>
      <c r="DI255" s="399">
        <v>-43.15463208036067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-5.2147983765626975</v>
      </c>
      <c r="DP255" s="399">
        <v>-1.3336720697268447</v>
      </c>
      <c r="DQ255" s="399">
        <v>0</v>
      </c>
      <c r="DR255" s="399">
        <v>0</v>
      </c>
      <c r="DS255" s="399"/>
      <c r="DT255" s="399"/>
      <c r="DU255" s="399"/>
      <c r="DV255" s="399">
        <v>4392.5822949691392</v>
      </c>
      <c r="DW255" s="399">
        <v>0</v>
      </c>
      <c r="DX255" s="399">
        <v>0</v>
      </c>
      <c r="DY255" s="399">
        <v>-1907.6012500000006</v>
      </c>
      <c r="DZ255" s="399">
        <v>472.25250000000051</v>
      </c>
      <c r="EA255" s="399">
        <v>0</v>
      </c>
      <c r="EB255" s="399">
        <v>0</v>
      </c>
      <c r="EC255" s="399">
        <v>-1927.3434645995399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216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954</v>
      </c>
      <c r="C256" s="399" t="s">
        <v>2352</v>
      </c>
      <c r="D256" s="399" t="s">
        <v>1824</v>
      </c>
      <c r="E256" s="399" t="s">
        <v>2369</v>
      </c>
      <c r="F256" s="399" t="s">
        <v>1237</v>
      </c>
      <c r="G256" s="399" t="s">
        <v>1237</v>
      </c>
      <c r="H256" s="399" t="s">
        <v>1237</v>
      </c>
      <c r="I256" s="399" t="s">
        <v>1237</v>
      </c>
      <c r="J256" s="399" t="s">
        <v>2353</v>
      </c>
      <c r="K256" s="789">
        <v>44621</v>
      </c>
      <c r="L256" s="399">
        <v>0</v>
      </c>
      <c r="M256" s="399">
        <v>0</v>
      </c>
      <c r="N256" s="399">
        <v>2.657</v>
      </c>
      <c r="O256" s="399">
        <v>2.657</v>
      </c>
      <c r="P256" s="399">
        <v>2.657</v>
      </c>
      <c r="Q256" s="399">
        <v>2.657</v>
      </c>
      <c r="R256" s="399"/>
      <c r="S256" s="399">
        <v>415.98</v>
      </c>
      <c r="T256" s="399">
        <v>215.17</v>
      </c>
      <c r="U256" s="399"/>
      <c r="V256" s="399">
        <v>1676.9655500000001</v>
      </c>
      <c r="W256" s="399">
        <v>1676.9655500000001</v>
      </c>
      <c r="X256" s="399">
        <v>1457.4707800000001</v>
      </c>
      <c r="Y256" s="399">
        <v>0</v>
      </c>
      <c r="Z256" s="399">
        <v>162.30709113625539</v>
      </c>
      <c r="AA256" s="399">
        <v>0</v>
      </c>
      <c r="AB256" s="399">
        <v>0</v>
      </c>
      <c r="AC256" s="399">
        <v>0</v>
      </c>
      <c r="AD256" s="399">
        <v>237.31148916535045</v>
      </c>
      <c r="AE256" s="399">
        <v>671.71747670405773</v>
      </c>
      <c r="AF256" s="399">
        <v>559.99446816244426</v>
      </c>
      <c r="AG256" s="399">
        <v>11.709331073733384</v>
      </c>
      <c r="AH256" s="399">
        <v>0</v>
      </c>
      <c r="AI256" s="399">
        <v>0</v>
      </c>
      <c r="AJ256" s="399">
        <v>0</v>
      </c>
      <c r="AK256" s="399">
        <v>0</v>
      </c>
      <c r="AL256" s="399">
        <v>25.080608971586081</v>
      </c>
      <c r="AM256" s="399"/>
      <c r="AN256" s="399">
        <v>3.1283451012789696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5.7176900813443607</v>
      </c>
      <c r="BH256" s="399">
        <v>0</v>
      </c>
      <c r="BI256" s="399">
        <v>0</v>
      </c>
      <c r="BJ256" s="399">
        <v>0</v>
      </c>
      <c r="BK256" s="399">
        <v>611.58000000000004</v>
      </c>
      <c r="BL256" s="399">
        <v>1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565.71215824378862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1459.1164000000001</v>
      </c>
      <c r="CJ256" s="399">
        <v>-217.87914999999998</v>
      </c>
      <c r="CK256" s="399"/>
      <c r="CL256" s="399"/>
      <c r="CM256" s="399"/>
      <c r="CN256" s="399"/>
      <c r="CO256" s="399">
        <v>-291.71203000000008</v>
      </c>
      <c r="CP256" s="399">
        <v>72.217260000000024</v>
      </c>
      <c r="CQ256" s="399">
        <v>31</v>
      </c>
      <c r="CR256" s="399">
        <v>75.230015654126078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9.8774219901933975</v>
      </c>
      <c r="DA256" s="399">
        <v>0</v>
      </c>
      <c r="DB256" s="399">
        <v>0</v>
      </c>
      <c r="DC256" s="399">
        <v>72.215891855320137</v>
      </c>
      <c r="DD256" s="399">
        <v>0</v>
      </c>
      <c r="DE256" s="399">
        <v>0</v>
      </c>
      <c r="DF256" s="399">
        <v>0</v>
      </c>
      <c r="DG256" s="399">
        <v>0.73734315614137724</v>
      </c>
      <c r="DH256" s="399">
        <v>0</v>
      </c>
      <c r="DI256" s="399">
        <v>-6.5992435935262108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-0.79745146972818048</v>
      </c>
      <c r="DP256" s="399">
        <v>-0.20394628427419992</v>
      </c>
      <c r="DQ256" s="399">
        <v>0</v>
      </c>
      <c r="DR256" s="399">
        <v>0</v>
      </c>
      <c r="DS256" s="399"/>
      <c r="DT256" s="399"/>
      <c r="DU256" s="399"/>
      <c r="DV256" s="399">
        <v>671.71747670405773</v>
      </c>
      <c r="DW256" s="399">
        <v>0</v>
      </c>
      <c r="DX256" s="399">
        <v>0</v>
      </c>
      <c r="DY256" s="399">
        <v>-291.71203000000014</v>
      </c>
      <c r="DZ256" s="399">
        <v>72.21726000000001</v>
      </c>
      <c r="EA256" s="399">
        <v>0</v>
      </c>
      <c r="EB256" s="399">
        <v>0</v>
      </c>
      <c r="EC256" s="399">
        <v>-294.73102650020013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216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954</v>
      </c>
      <c r="C257" s="399" t="s">
        <v>2352</v>
      </c>
      <c r="D257" s="399" t="s">
        <v>2363</v>
      </c>
      <c r="E257" s="399" t="s">
        <v>892</v>
      </c>
      <c r="F257" s="399" t="s">
        <v>2370</v>
      </c>
      <c r="G257" s="399" t="s">
        <v>2371</v>
      </c>
      <c r="H257" s="399" t="s">
        <v>1237</v>
      </c>
      <c r="I257" s="399" t="s">
        <v>1237</v>
      </c>
      <c r="J257" s="399" t="s">
        <v>2353</v>
      </c>
      <c r="K257" s="789">
        <v>44621</v>
      </c>
      <c r="L257" s="399">
        <v>0</v>
      </c>
      <c r="M257" s="399">
        <v>0</v>
      </c>
      <c r="N257" s="399">
        <v>0</v>
      </c>
      <c r="O257" s="399">
        <v>0</v>
      </c>
      <c r="P257" s="399">
        <v>0</v>
      </c>
      <c r="Q257" s="399">
        <v>0</v>
      </c>
      <c r="R257" s="399"/>
      <c r="S257" s="399"/>
      <c r="T257" s="399"/>
      <c r="U257" s="399"/>
      <c r="V257" s="399"/>
      <c r="W257" s="399"/>
      <c r="X257" s="399"/>
      <c r="Y257" s="399"/>
      <c r="Z257" s="399"/>
      <c r="AA257" s="399">
        <v>0</v>
      </c>
      <c r="AB257" s="399"/>
      <c r="AC257" s="399"/>
      <c r="AD257" s="399"/>
      <c r="AE257" s="399"/>
      <c r="AF257" s="399"/>
      <c r="AG257" s="399"/>
      <c r="AH257" s="399"/>
      <c r="AI257" s="399"/>
      <c r="AJ257" s="399"/>
      <c r="AK257" s="399"/>
      <c r="AL257" s="399"/>
      <c r="AM257" s="399"/>
      <c r="AN257" s="399"/>
      <c r="AO257" s="399"/>
      <c r="AP257" s="399"/>
      <c r="AQ257" s="399"/>
      <c r="AR257" s="399"/>
      <c r="AS257" s="399"/>
      <c r="AT257" s="399"/>
      <c r="AU257" s="399"/>
      <c r="AV257" s="399"/>
      <c r="AW257" s="399"/>
      <c r="AX257" s="399"/>
      <c r="AY257" s="399"/>
      <c r="AZ257" s="399">
        <v>0</v>
      </c>
      <c r="BA257" s="399"/>
      <c r="BB257" s="399"/>
      <c r="BC257" s="399"/>
      <c r="BD257" s="399"/>
      <c r="BE257" s="399"/>
      <c r="BF257" s="399"/>
      <c r="BG257" s="399"/>
      <c r="BH257" s="399"/>
      <c r="BI257" s="399">
        <v>0</v>
      </c>
      <c r="BJ257" s="399">
        <v>0</v>
      </c>
      <c r="BK257" s="399">
        <v>296</v>
      </c>
      <c r="BL257" s="399">
        <v>19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/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/>
      <c r="CJ257" s="399">
        <v>-0.03</v>
      </c>
      <c r="CK257" s="399"/>
      <c r="CL257" s="399"/>
      <c r="CM257" s="399"/>
      <c r="CN257" s="399"/>
      <c r="CO257" s="399">
        <v>0</v>
      </c>
      <c r="CP257" s="399">
        <v>0</v>
      </c>
      <c r="CQ257" s="399">
        <v>31</v>
      </c>
      <c r="CR257" s="399"/>
      <c r="CS257" s="399"/>
      <c r="CT257" s="399"/>
      <c r="CU257" s="399"/>
      <c r="CV257" s="399"/>
      <c r="CW257" s="399"/>
      <c r="CX257" s="399"/>
      <c r="CY257" s="399"/>
      <c r="CZ257" s="399"/>
      <c r="DA257" s="399"/>
      <c r="DB257" s="399"/>
      <c r="DC257" s="399"/>
      <c r="DD257" s="399"/>
      <c r="DE257" s="399"/>
      <c r="DF257" s="399"/>
      <c r="DG257" s="399"/>
      <c r="DH257" s="399"/>
      <c r="DI257" s="399"/>
      <c r="DJ257" s="399"/>
      <c r="DK257" s="399">
        <v>0</v>
      </c>
      <c r="DL257" s="399"/>
      <c r="DM257" s="399"/>
      <c r="DN257" s="399"/>
      <c r="DO257" s="399"/>
      <c r="DP257" s="399"/>
      <c r="DQ257" s="399"/>
      <c r="DR257" s="399"/>
      <c r="DS257" s="399"/>
      <c r="DT257" s="399"/>
      <c r="DU257" s="399"/>
      <c r="DV257" s="399"/>
      <c r="DW257" s="399"/>
      <c r="DX257" s="399"/>
      <c r="DY257" s="399"/>
      <c r="DZ257" s="399"/>
      <c r="EA257" s="399"/>
      <c r="EB257" s="399"/>
      <c r="EC257" s="399"/>
      <c r="ED257" s="399"/>
      <c r="EE257" s="399"/>
      <c r="EF257" s="399"/>
      <c r="EG257" s="399"/>
      <c r="EH257" s="399"/>
      <c r="EI257" s="399"/>
      <c r="EJ257" s="399"/>
      <c r="EK257" s="399"/>
      <c r="EL257" s="399"/>
      <c r="EM257" s="399"/>
      <c r="EN257" s="399"/>
      <c r="EO257" s="399"/>
      <c r="EP257" s="399"/>
      <c r="EQ257" s="399"/>
      <c r="ER257" s="399"/>
      <c r="ES257" s="399"/>
      <c r="ET257" s="399"/>
      <c r="EU257" s="399"/>
      <c r="EV257" s="399">
        <v>216</v>
      </c>
      <c r="EW257" s="399"/>
      <c r="EX257" s="399"/>
      <c r="EY257" s="399"/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2355</v>
      </c>
      <c r="C258" s="399" t="s">
        <v>2352</v>
      </c>
      <c r="D258" s="399" t="s">
        <v>2363</v>
      </c>
      <c r="E258" s="399" t="s">
        <v>892</v>
      </c>
      <c r="F258" s="399" t="s">
        <v>2370</v>
      </c>
      <c r="G258" s="399" t="s">
        <v>2371</v>
      </c>
      <c r="H258" s="399" t="s">
        <v>1237</v>
      </c>
      <c r="I258" s="399" t="s">
        <v>1237</v>
      </c>
      <c r="J258" s="399" t="s">
        <v>2353</v>
      </c>
      <c r="K258" s="789">
        <v>44621</v>
      </c>
      <c r="L258" s="399">
        <v>0</v>
      </c>
      <c r="M258" s="399">
        <v>0</v>
      </c>
      <c r="N258" s="399">
        <v>0</v>
      </c>
      <c r="O258" s="399">
        <v>0</v>
      </c>
      <c r="P258" s="399">
        <v>0</v>
      </c>
      <c r="Q258" s="399">
        <v>0</v>
      </c>
      <c r="R258" s="399"/>
      <c r="S258" s="399"/>
      <c r="T258" s="399"/>
      <c r="U258" s="399"/>
      <c r="V258" s="399"/>
      <c r="W258" s="399"/>
      <c r="X258" s="399"/>
      <c r="Y258" s="399"/>
      <c r="Z258" s="399"/>
      <c r="AA258" s="399">
        <v>0</v>
      </c>
      <c r="AB258" s="399"/>
      <c r="AC258" s="399"/>
      <c r="AD258" s="399"/>
      <c r="AE258" s="399"/>
      <c r="AF258" s="399"/>
      <c r="AG258" s="399"/>
      <c r="AH258" s="399"/>
      <c r="AI258" s="399"/>
      <c r="AJ258" s="399"/>
      <c r="AK258" s="399"/>
      <c r="AL258" s="399"/>
      <c r="AM258" s="399"/>
      <c r="AN258" s="399"/>
      <c r="AO258" s="399"/>
      <c r="AP258" s="399"/>
      <c r="AQ258" s="399"/>
      <c r="AR258" s="399"/>
      <c r="AS258" s="399"/>
      <c r="AT258" s="399"/>
      <c r="AU258" s="399"/>
      <c r="AV258" s="399"/>
      <c r="AW258" s="399"/>
      <c r="AX258" s="399"/>
      <c r="AY258" s="399"/>
      <c r="AZ258" s="399">
        <v>0</v>
      </c>
      <c r="BA258" s="399"/>
      <c r="BB258" s="399"/>
      <c r="BC258" s="399"/>
      <c r="BD258" s="399"/>
      <c r="BE258" s="399"/>
      <c r="BF258" s="399"/>
      <c r="BG258" s="399"/>
      <c r="BH258" s="399"/>
      <c r="BI258" s="399">
        <v>0</v>
      </c>
      <c r="BJ258" s="399">
        <v>0</v>
      </c>
      <c r="BK258" s="399">
        <v>4.91</v>
      </c>
      <c r="BL258" s="399">
        <v>1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/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/>
      <c r="CJ258" s="399">
        <v>-0.03</v>
      </c>
      <c r="CK258" s="399"/>
      <c r="CL258" s="399"/>
      <c r="CM258" s="399"/>
      <c r="CN258" s="399"/>
      <c r="CO258" s="399">
        <v>0</v>
      </c>
      <c r="CP258" s="399">
        <v>0</v>
      </c>
      <c r="CQ258" s="399">
        <v>31</v>
      </c>
      <c r="CR258" s="399"/>
      <c r="CS258" s="399"/>
      <c r="CT258" s="399"/>
      <c r="CU258" s="399"/>
      <c r="CV258" s="399"/>
      <c r="CW258" s="399"/>
      <c r="CX258" s="399"/>
      <c r="CY258" s="399"/>
      <c r="CZ258" s="399"/>
      <c r="DA258" s="399"/>
      <c r="DB258" s="399"/>
      <c r="DC258" s="399"/>
      <c r="DD258" s="399"/>
      <c r="DE258" s="399"/>
      <c r="DF258" s="399"/>
      <c r="DG258" s="399"/>
      <c r="DH258" s="399"/>
      <c r="DI258" s="399"/>
      <c r="DJ258" s="399"/>
      <c r="DK258" s="399">
        <v>0</v>
      </c>
      <c r="DL258" s="399"/>
      <c r="DM258" s="399"/>
      <c r="DN258" s="399"/>
      <c r="DO258" s="399"/>
      <c r="DP258" s="399"/>
      <c r="DQ258" s="399"/>
      <c r="DR258" s="399"/>
      <c r="DS258" s="399"/>
      <c r="DT258" s="399"/>
      <c r="DU258" s="399"/>
      <c r="DV258" s="399"/>
      <c r="DW258" s="399"/>
      <c r="DX258" s="399"/>
      <c r="DY258" s="399"/>
      <c r="DZ258" s="399"/>
      <c r="EA258" s="399"/>
      <c r="EB258" s="399"/>
      <c r="EC258" s="399"/>
      <c r="ED258" s="399"/>
      <c r="EE258" s="399"/>
      <c r="EF258" s="399"/>
      <c r="EG258" s="399"/>
      <c r="EH258" s="399"/>
      <c r="EI258" s="399"/>
      <c r="EJ258" s="399"/>
      <c r="EK258" s="399"/>
      <c r="EL258" s="399"/>
      <c r="EM258" s="399"/>
      <c r="EN258" s="399"/>
      <c r="EO258" s="399"/>
      <c r="EP258" s="399"/>
      <c r="EQ258" s="399"/>
      <c r="ER258" s="399"/>
      <c r="ES258" s="399"/>
      <c r="ET258" s="399"/>
      <c r="EU258" s="399"/>
      <c r="EV258" s="399">
        <v>216</v>
      </c>
      <c r="EW258" s="399"/>
      <c r="EX258" s="399"/>
      <c r="EY258" s="399"/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954</v>
      </c>
      <c r="C259" s="399" t="s">
        <v>2352</v>
      </c>
      <c r="D259" s="399" t="s">
        <v>2363</v>
      </c>
      <c r="E259" s="399" t="s">
        <v>892</v>
      </c>
      <c r="F259" s="399" t="s">
        <v>2370</v>
      </c>
      <c r="G259" s="399" t="s">
        <v>2371</v>
      </c>
      <c r="H259" s="399" t="s">
        <v>1237</v>
      </c>
      <c r="I259" s="399" t="s">
        <v>1237</v>
      </c>
      <c r="J259" s="399" t="s">
        <v>2353</v>
      </c>
      <c r="K259" s="789">
        <v>44621</v>
      </c>
      <c r="L259" s="399">
        <v>0</v>
      </c>
      <c r="M259" s="399">
        <v>0</v>
      </c>
      <c r="N259" s="399">
        <v>2.0369999999999999</v>
      </c>
      <c r="O259" s="399">
        <v>2.0369999999999999</v>
      </c>
      <c r="P259" s="399">
        <v>2.0369999999999999</v>
      </c>
      <c r="Q259" s="399">
        <v>2.0369999999999999</v>
      </c>
      <c r="R259" s="399"/>
      <c r="S259" s="399">
        <v>415.98</v>
      </c>
      <c r="T259" s="399">
        <v>215.17</v>
      </c>
      <c r="U259" s="399"/>
      <c r="V259" s="399">
        <v>1285.65255</v>
      </c>
      <c r="W259" s="399">
        <v>1285.65255</v>
      </c>
      <c r="X259" s="399">
        <v>1117.37598</v>
      </c>
      <c r="Y259" s="399">
        <v>0</v>
      </c>
      <c r="Z259" s="399">
        <v>124.43340031785932</v>
      </c>
      <c r="AA259" s="399">
        <v>0</v>
      </c>
      <c r="AB259" s="399">
        <v>0</v>
      </c>
      <c r="AC259" s="399">
        <v>0</v>
      </c>
      <c r="AD259" s="399">
        <v>181.93583117418848</v>
      </c>
      <c r="AE259" s="399">
        <v>514.97497179005097</v>
      </c>
      <c r="AF259" s="399">
        <v>429.32206685995448</v>
      </c>
      <c r="AG259" s="399">
        <v>8.9770069240477621</v>
      </c>
      <c r="AH259" s="399">
        <v>0</v>
      </c>
      <c r="AI259" s="399">
        <v>0</v>
      </c>
      <c r="AJ259" s="399">
        <v>0</v>
      </c>
      <c r="AK259" s="399">
        <v>0</v>
      </c>
      <c r="AL259" s="399">
        <v>19.228152230004081</v>
      </c>
      <c r="AM259" s="399"/>
      <c r="AN259" s="399">
        <v>2.3983586643979149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4.3834906645459029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>
        <v>134.07533999999998</v>
      </c>
      <c r="BS259" s="399"/>
      <c r="BT259" s="399"/>
      <c r="BU259" s="399"/>
      <c r="BV259" s="399">
        <v>433.70555752450036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984.74880000000007</v>
      </c>
      <c r="CJ259" s="399">
        <v>-146.65136999999982</v>
      </c>
      <c r="CK259" s="399"/>
      <c r="CL259" s="399"/>
      <c r="CM259" s="399"/>
      <c r="CN259" s="399"/>
      <c r="CO259" s="399">
        <v>-223.64223000000004</v>
      </c>
      <c r="CP259" s="399">
        <v>55.365660000000013</v>
      </c>
      <c r="CQ259" s="399">
        <v>31</v>
      </c>
      <c r="CR259" s="399">
        <v>57.675401538372398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7.572566275507711</v>
      </c>
      <c r="DA259" s="399">
        <v>0</v>
      </c>
      <c r="DB259" s="399">
        <v>0</v>
      </c>
      <c r="DC259" s="399">
        <v>55.364611106242762</v>
      </c>
      <c r="DD259" s="399">
        <v>0</v>
      </c>
      <c r="DE259" s="399">
        <v>0</v>
      </c>
      <c r="DF259" s="399">
        <v>0</v>
      </c>
      <c r="DG259" s="399">
        <v>0.56528716938652046</v>
      </c>
      <c r="DH259" s="399">
        <v>0</v>
      </c>
      <c r="DI259" s="399">
        <v>-5.0593372977090354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-0.61136945571558243</v>
      </c>
      <c r="DP259" s="399">
        <v>-0.15635625934006159</v>
      </c>
      <c r="DQ259" s="399">
        <v>0</v>
      </c>
      <c r="DR259" s="399">
        <v>0</v>
      </c>
      <c r="DS259" s="399"/>
      <c r="DT259" s="399"/>
      <c r="DU259" s="399"/>
      <c r="DV259" s="399">
        <v>514.97497179005097</v>
      </c>
      <c r="DW259" s="399">
        <v>0</v>
      </c>
      <c r="DX259" s="399">
        <v>0</v>
      </c>
      <c r="DY259" s="399">
        <v>-223.64223000000004</v>
      </c>
      <c r="DZ259" s="399">
        <v>55.365660000000048</v>
      </c>
      <c r="EA259" s="399">
        <v>0</v>
      </c>
      <c r="EB259" s="399">
        <v>0</v>
      </c>
      <c r="EC259" s="399">
        <v>-225.95675610873445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216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2355</v>
      </c>
      <c r="C260" s="399" t="s">
        <v>2352</v>
      </c>
      <c r="D260" s="399" t="s">
        <v>2363</v>
      </c>
      <c r="E260" s="399" t="s">
        <v>892</v>
      </c>
      <c r="F260" s="399" t="s">
        <v>2370</v>
      </c>
      <c r="G260" s="399" t="s">
        <v>2371</v>
      </c>
      <c r="H260" s="399" t="s">
        <v>1237</v>
      </c>
      <c r="I260" s="399" t="s">
        <v>1237</v>
      </c>
      <c r="J260" s="399" t="s">
        <v>2353</v>
      </c>
      <c r="K260" s="789">
        <v>44621</v>
      </c>
      <c r="L260" s="399">
        <v>0</v>
      </c>
      <c r="M260" s="399">
        <v>0</v>
      </c>
      <c r="N260" s="399">
        <v>0.05</v>
      </c>
      <c r="O260" s="399">
        <v>0.05</v>
      </c>
      <c r="P260" s="399">
        <v>0.05</v>
      </c>
      <c r="Q260" s="399">
        <v>0.05</v>
      </c>
      <c r="R260" s="399"/>
      <c r="S260" s="399">
        <v>415.98</v>
      </c>
      <c r="T260" s="399">
        <v>215.17</v>
      </c>
      <c r="U260" s="399"/>
      <c r="V260" s="399">
        <v>31.557500000000005</v>
      </c>
      <c r="W260" s="399">
        <v>31.557500000000005</v>
      </c>
      <c r="X260" s="399">
        <v>27.427</v>
      </c>
      <c r="Y260" s="399">
        <v>0</v>
      </c>
      <c r="Z260" s="399">
        <v>3.0543299047093604</v>
      </c>
      <c r="AA260" s="399">
        <v>0</v>
      </c>
      <c r="AB260" s="399">
        <v>0</v>
      </c>
      <c r="AC260" s="399">
        <v>0</v>
      </c>
      <c r="AD260" s="399">
        <v>4.4657788702549954</v>
      </c>
      <c r="AE260" s="399">
        <v>12.64052458983925</v>
      </c>
      <c r="AF260" s="399">
        <v>10.538096879233052</v>
      </c>
      <c r="AG260" s="399">
        <v>0.22034872174884051</v>
      </c>
      <c r="AH260" s="399">
        <v>0</v>
      </c>
      <c r="AI260" s="399">
        <v>0</v>
      </c>
      <c r="AJ260" s="399">
        <v>0</v>
      </c>
      <c r="AK260" s="399">
        <v>0</v>
      </c>
      <c r="AL260" s="399">
        <v>0.47197231786951604</v>
      </c>
      <c r="AM260" s="399"/>
      <c r="AN260" s="399">
        <v>5.8869873942020506E-2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0.107596727161166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>
        <v>3.2909999999999999</v>
      </c>
      <c r="BS260" s="399"/>
      <c r="BT260" s="399"/>
      <c r="BU260" s="399"/>
      <c r="BV260" s="399">
        <v>10.645693606394218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24.136000000000003</v>
      </c>
      <c r="CJ260" s="399">
        <v>-3.6645000000000003</v>
      </c>
      <c r="CK260" s="399"/>
      <c r="CL260" s="399"/>
      <c r="CM260" s="399"/>
      <c r="CN260" s="399"/>
      <c r="CO260" s="399">
        <v>-5.4895000000000014</v>
      </c>
      <c r="CP260" s="399">
        <v>1.3590000000000004</v>
      </c>
      <c r="CQ260" s="399">
        <v>31</v>
      </c>
      <c r="CR260" s="399">
        <v>1.4156946867543532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0.18587546086174989</v>
      </c>
      <c r="DA260" s="399">
        <v>0</v>
      </c>
      <c r="DB260" s="399">
        <v>0</v>
      </c>
      <c r="DC260" s="399">
        <v>1.3589742539578484</v>
      </c>
      <c r="DD260" s="399">
        <v>0</v>
      </c>
      <c r="DE260" s="399">
        <v>0</v>
      </c>
      <c r="DF260" s="399">
        <v>0</v>
      </c>
      <c r="DG260" s="399">
        <v>1.3875482802811007E-2</v>
      </c>
      <c r="DH260" s="399">
        <v>0</v>
      </c>
      <c r="DI260" s="399">
        <v>-0.12418599159816024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-1.5006614033274024E-2</v>
      </c>
      <c r="DP260" s="399">
        <v>-3.8379052366240077E-3</v>
      </c>
      <c r="DQ260" s="399">
        <v>0</v>
      </c>
      <c r="DR260" s="399">
        <v>0</v>
      </c>
      <c r="DS260" s="399"/>
      <c r="DT260" s="399"/>
      <c r="DU260" s="399"/>
      <c r="DV260" s="399">
        <v>12.64052458983925</v>
      </c>
      <c r="DW260" s="399">
        <v>0</v>
      </c>
      <c r="DX260" s="399">
        <v>0</v>
      </c>
      <c r="DY260" s="399">
        <v>-5.4895000000000032</v>
      </c>
      <c r="DZ260" s="399">
        <v>1.359</v>
      </c>
      <c r="EA260" s="399">
        <v>0</v>
      </c>
      <c r="EB260" s="399">
        <v>0</v>
      </c>
      <c r="EC260" s="399">
        <v>-5.5463121283439998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216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954</v>
      </c>
      <c r="C261" s="399" t="s">
        <v>2352</v>
      </c>
      <c r="D261" s="399" t="s">
        <v>2363</v>
      </c>
      <c r="E261" s="399" t="s">
        <v>892</v>
      </c>
      <c r="F261" s="399" t="s">
        <v>2370</v>
      </c>
      <c r="G261" s="399" t="s">
        <v>2372</v>
      </c>
      <c r="H261" s="399" t="s">
        <v>1237</v>
      </c>
      <c r="I261" s="399" t="s">
        <v>1237</v>
      </c>
      <c r="J261" s="399" t="s">
        <v>2353</v>
      </c>
      <c r="K261" s="789">
        <v>44621</v>
      </c>
      <c r="L261" s="399">
        <v>0</v>
      </c>
      <c r="M261" s="399">
        <v>0</v>
      </c>
      <c r="N261" s="399">
        <v>0.79600000000000004</v>
      </c>
      <c r="O261" s="399">
        <v>0.31840000000000002</v>
      </c>
      <c r="P261" s="399">
        <v>0.79600000000000004</v>
      </c>
      <c r="Q261" s="399">
        <v>0.31840000000000002</v>
      </c>
      <c r="R261" s="399"/>
      <c r="S261" s="399">
        <v>415.98</v>
      </c>
      <c r="T261" s="399">
        <v>215.17</v>
      </c>
      <c r="U261" s="399"/>
      <c r="V261" s="399">
        <v>502.3954</v>
      </c>
      <c r="W261" s="399">
        <v>502.3954</v>
      </c>
      <c r="X261" s="399">
        <v>436.63784000000004</v>
      </c>
      <c r="Y261" s="399">
        <v>0</v>
      </c>
      <c r="Z261" s="399">
        <v>48.624932082973018</v>
      </c>
      <c r="AA261" s="399">
        <v>0</v>
      </c>
      <c r="AB261" s="399">
        <v>0</v>
      </c>
      <c r="AC261" s="399">
        <v>0</v>
      </c>
      <c r="AD261" s="399">
        <v>71.095199614459531</v>
      </c>
      <c r="AE261" s="399">
        <v>201.23715147024086</v>
      </c>
      <c r="AF261" s="399">
        <v>167.76650231739018</v>
      </c>
      <c r="AG261" s="399">
        <v>3.5079516502415409</v>
      </c>
      <c r="AH261" s="399">
        <v>0</v>
      </c>
      <c r="AI261" s="399">
        <v>0</v>
      </c>
      <c r="AJ261" s="399">
        <v>0</v>
      </c>
      <c r="AK261" s="399">
        <v>0</v>
      </c>
      <c r="AL261" s="399">
        <v>7.5137993004826953</v>
      </c>
      <c r="AM261" s="399"/>
      <c r="AN261" s="399">
        <v>0.93720839315696647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1.7129398964057627</v>
      </c>
      <c r="BH261" s="399">
        <v>0</v>
      </c>
      <c r="BI261" s="399">
        <v>0</v>
      </c>
      <c r="BJ261" s="399">
        <v>0</v>
      </c>
      <c r="BK261" s="399">
        <v>0</v>
      </c>
      <c r="BL261" s="399">
        <v>0</v>
      </c>
      <c r="BM261" s="399"/>
      <c r="BN261" s="399"/>
      <c r="BO261" s="399"/>
      <c r="BP261" s="399"/>
      <c r="BQ261" s="399"/>
      <c r="BR261" s="399"/>
      <c r="BS261" s="399">
        <v>282.93979200000001</v>
      </c>
      <c r="BT261" s="399"/>
      <c r="BU261" s="399"/>
      <c r="BV261" s="399">
        <v>169.47944221379595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154.47040000000001</v>
      </c>
      <c r="CJ261" s="399">
        <v>-22.402143999999993</v>
      </c>
      <c r="CK261" s="399"/>
      <c r="CL261" s="399"/>
      <c r="CM261" s="399"/>
      <c r="CN261" s="399"/>
      <c r="CO261" s="399">
        <v>-87.392840000000021</v>
      </c>
      <c r="CP261" s="399">
        <v>21.635280000000005</v>
      </c>
      <c r="CQ261" s="399">
        <v>31</v>
      </c>
      <c r="CR261" s="399">
        <v>22.537859413129297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2.9591373369190563</v>
      </c>
      <c r="DA261" s="399">
        <v>0</v>
      </c>
      <c r="DB261" s="399">
        <v>0</v>
      </c>
      <c r="DC261" s="399">
        <v>21.634870123008966</v>
      </c>
      <c r="DD261" s="399">
        <v>0</v>
      </c>
      <c r="DE261" s="399">
        <v>0</v>
      </c>
      <c r="DF261" s="399">
        <v>0</v>
      </c>
      <c r="DG261" s="399">
        <v>0.22089768622075123</v>
      </c>
      <c r="DH261" s="399">
        <v>0</v>
      </c>
      <c r="DI261" s="399">
        <v>-1.9770409862427059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-0.2389052954097215</v>
      </c>
      <c r="DP261" s="399">
        <v>-6.1099451367054192E-2</v>
      </c>
      <c r="DQ261" s="399">
        <v>0</v>
      </c>
      <c r="DR261" s="399">
        <v>0</v>
      </c>
      <c r="DS261" s="399"/>
      <c r="DT261" s="399"/>
      <c r="DU261" s="399"/>
      <c r="DV261" s="399">
        <v>201.23715147024086</v>
      </c>
      <c r="DW261" s="399">
        <v>0</v>
      </c>
      <c r="DX261" s="399">
        <v>0</v>
      </c>
      <c r="DY261" s="399">
        <v>-87.392840000000007</v>
      </c>
      <c r="DZ261" s="399">
        <v>21.635280000000023</v>
      </c>
      <c r="EA261" s="399">
        <v>0</v>
      </c>
      <c r="EB261" s="399">
        <v>0</v>
      </c>
      <c r="EC261" s="399">
        <v>-88.297289083236464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216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261</v>
      </c>
      <c r="B262" s="399" t="s">
        <v>954</v>
      </c>
      <c r="C262" s="399" t="s">
        <v>2352</v>
      </c>
      <c r="D262" s="399" t="s">
        <v>2363</v>
      </c>
      <c r="E262" s="399" t="s">
        <v>892</v>
      </c>
      <c r="F262" s="399" t="s">
        <v>2373</v>
      </c>
      <c r="G262" s="399" t="s">
        <v>2371</v>
      </c>
      <c r="H262" s="399" t="s">
        <v>1237</v>
      </c>
      <c r="I262" s="399" t="s">
        <v>1237</v>
      </c>
      <c r="J262" s="399" t="s">
        <v>2353</v>
      </c>
      <c r="K262" s="789">
        <v>44621</v>
      </c>
      <c r="L262" s="399">
        <v>0</v>
      </c>
      <c r="M262" s="399">
        <v>0</v>
      </c>
      <c r="N262" s="399">
        <v>0</v>
      </c>
      <c r="O262" s="399">
        <v>0</v>
      </c>
      <c r="P262" s="399">
        <v>0</v>
      </c>
      <c r="Q262" s="399">
        <v>0</v>
      </c>
      <c r="R262" s="399"/>
      <c r="S262" s="399"/>
      <c r="T262" s="399"/>
      <c r="U262" s="399"/>
      <c r="V262" s="399"/>
      <c r="W262" s="399"/>
      <c r="X262" s="399"/>
      <c r="Y262" s="399"/>
      <c r="Z262" s="399"/>
      <c r="AA262" s="399">
        <v>0</v>
      </c>
      <c r="AB262" s="399"/>
      <c r="AC262" s="399"/>
      <c r="AD262" s="399"/>
      <c r="AE262" s="399"/>
      <c r="AF262" s="399"/>
      <c r="AG262" s="399"/>
      <c r="AH262" s="399"/>
      <c r="AI262" s="399"/>
      <c r="AJ262" s="399"/>
      <c r="AK262" s="399"/>
      <c r="AL262" s="399"/>
      <c r="AM262" s="399"/>
      <c r="AN262" s="399"/>
      <c r="AO262" s="399"/>
      <c r="AP262" s="399"/>
      <c r="AQ262" s="399"/>
      <c r="AR262" s="399"/>
      <c r="AS262" s="399"/>
      <c r="AT262" s="399"/>
      <c r="AU262" s="399"/>
      <c r="AV262" s="399"/>
      <c r="AW262" s="399"/>
      <c r="AX262" s="399"/>
      <c r="AY262" s="399"/>
      <c r="AZ262" s="399">
        <v>0</v>
      </c>
      <c r="BA262" s="399"/>
      <c r="BB262" s="399"/>
      <c r="BC262" s="399"/>
      <c r="BD262" s="399"/>
      <c r="BE262" s="399"/>
      <c r="BF262" s="399"/>
      <c r="BG262" s="399"/>
      <c r="BH262" s="399"/>
      <c r="BI262" s="399">
        <v>0</v>
      </c>
      <c r="BJ262" s="399">
        <v>0</v>
      </c>
      <c r="BK262" s="399">
        <v>722.97</v>
      </c>
      <c r="BL262" s="399">
        <v>2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/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/>
      <c r="CJ262" s="399">
        <v>-0.03</v>
      </c>
      <c r="CK262" s="399"/>
      <c r="CL262" s="399"/>
      <c r="CM262" s="399"/>
      <c r="CN262" s="399"/>
      <c r="CO262" s="399">
        <v>0</v>
      </c>
      <c r="CP262" s="399">
        <v>0</v>
      </c>
      <c r="CQ262" s="399">
        <v>31</v>
      </c>
      <c r="CR262" s="399"/>
      <c r="CS262" s="399"/>
      <c r="CT262" s="399"/>
      <c r="CU262" s="399"/>
      <c r="CV262" s="399"/>
      <c r="CW262" s="399"/>
      <c r="CX262" s="399"/>
      <c r="CY262" s="399"/>
      <c r="CZ262" s="399"/>
      <c r="DA262" s="399"/>
      <c r="DB262" s="399"/>
      <c r="DC262" s="399"/>
      <c r="DD262" s="399"/>
      <c r="DE262" s="399"/>
      <c r="DF262" s="399"/>
      <c r="DG262" s="399"/>
      <c r="DH262" s="399"/>
      <c r="DI262" s="399"/>
      <c r="DJ262" s="399"/>
      <c r="DK262" s="399">
        <v>0</v>
      </c>
      <c r="DL262" s="399"/>
      <c r="DM262" s="399"/>
      <c r="DN262" s="399"/>
      <c r="DO262" s="399"/>
      <c r="DP262" s="399"/>
      <c r="DQ262" s="399"/>
      <c r="DR262" s="399"/>
      <c r="DS262" s="399"/>
      <c r="DT262" s="399"/>
      <c r="DU262" s="399"/>
      <c r="DV262" s="399"/>
      <c r="DW262" s="399"/>
      <c r="DX262" s="399"/>
      <c r="DY262" s="399"/>
      <c r="DZ262" s="399"/>
      <c r="EA262" s="399"/>
      <c r="EB262" s="399"/>
      <c r="EC262" s="399"/>
      <c r="ED262" s="399"/>
      <c r="EE262" s="399"/>
      <c r="EF262" s="399"/>
      <c r="EG262" s="399"/>
      <c r="EH262" s="399"/>
      <c r="EI262" s="399"/>
      <c r="EJ262" s="399"/>
      <c r="EK262" s="399"/>
      <c r="EL262" s="399"/>
      <c r="EM262" s="399"/>
      <c r="EN262" s="399"/>
      <c r="EO262" s="399"/>
      <c r="EP262" s="399"/>
      <c r="EQ262" s="399"/>
      <c r="ER262" s="399"/>
      <c r="ES262" s="399"/>
      <c r="ET262" s="399"/>
      <c r="EU262" s="399"/>
      <c r="EV262" s="399">
        <v>216</v>
      </c>
      <c r="EW262" s="399"/>
      <c r="EX262" s="399"/>
      <c r="EY262" s="399"/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262</v>
      </c>
      <c r="B263" s="399" t="s">
        <v>954</v>
      </c>
      <c r="C263" s="399" t="s">
        <v>2352</v>
      </c>
      <c r="D263" s="399" t="s">
        <v>2363</v>
      </c>
      <c r="E263" s="399" t="s">
        <v>892</v>
      </c>
      <c r="F263" s="399" t="s">
        <v>2373</v>
      </c>
      <c r="G263" s="399" t="s">
        <v>2371</v>
      </c>
      <c r="H263" s="399" t="s">
        <v>1237</v>
      </c>
      <c r="I263" s="399" t="s">
        <v>1237</v>
      </c>
      <c r="J263" s="399" t="s">
        <v>2353</v>
      </c>
      <c r="K263" s="789">
        <v>44621</v>
      </c>
      <c r="L263" s="399">
        <v>0</v>
      </c>
      <c r="M263" s="399">
        <v>0</v>
      </c>
      <c r="N263" s="399">
        <v>1.085</v>
      </c>
      <c r="O263" s="399">
        <v>1.085</v>
      </c>
      <c r="P263" s="399">
        <v>1.085</v>
      </c>
      <c r="Q263" s="399">
        <v>1.085</v>
      </c>
      <c r="R263" s="399"/>
      <c r="S263" s="399">
        <v>415.98</v>
      </c>
      <c r="T263" s="399">
        <v>215.17</v>
      </c>
      <c r="U263" s="399"/>
      <c r="V263" s="399">
        <v>684.79774999999995</v>
      </c>
      <c r="W263" s="399">
        <v>684.79774999999995</v>
      </c>
      <c r="X263" s="399">
        <v>595.16589999999997</v>
      </c>
      <c r="Y263" s="399">
        <v>0</v>
      </c>
      <c r="Z263" s="399">
        <v>66.278958932193106</v>
      </c>
      <c r="AA263" s="399">
        <v>0</v>
      </c>
      <c r="AB263" s="399">
        <v>0</v>
      </c>
      <c r="AC263" s="399">
        <v>0</v>
      </c>
      <c r="AD263" s="399">
        <v>96.907401484533395</v>
      </c>
      <c r="AE263" s="399">
        <v>274.29938359951171</v>
      </c>
      <c r="AF263" s="399">
        <v>228.67670227935719</v>
      </c>
      <c r="AG263" s="399">
        <v>4.7815672619498386</v>
      </c>
      <c r="AH263" s="399">
        <v>0</v>
      </c>
      <c r="AI263" s="399">
        <v>0</v>
      </c>
      <c r="AJ263" s="399">
        <v>0</v>
      </c>
      <c r="AK263" s="399">
        <v>0</v>
      </c>
      <c r="AL263" s="399">
        <v>10.241799297768496</v>
      </c>
      <c r="AM263" s="399"/>
      <c r="AN263" s="399">
        <v>1.2774762645418449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2.334848979397302</v>
      </c>
      <c r="BH263" s="399">
        <v>0</v>
      </c>
      <c r="BI263" s="399">
        <v>0</v>
      </c>
      <c r="BJ263" s="399">
        <v>0</v>
      </c>
      <c r="BK263" s="399">
        <v>0</v>
      </c>
      <c r="BL263" s="399">
        <v>0</v>
      </c>
      <c r="BM263" s="399"/>
      <c r="BN263" s="399"/>
      <c r="BO263" s="399"/>
      <c r="BP263" s="399"/>
      <c r="BQ263" s="399"/>
      <c r="BR263" s="399">
        <v>71.414699999999996</v>
      </c>
      <c r="BS263" s="399"/>
      <c r="BT263" s="399"/>
      <c r="BU263" s="399"/>
      <c r="BV263" s="399">
        <v>231.01155125875448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526.16480000000001</v>
      </c>
      <c r="CJ263" s="399">
        <v>-76.485050000000001</v>
      </c>
      <c r="CK263" s="399"/>
      <c r="CL263" s="399"/>
      <c r="CM263" s="399"/>
      <c r="CN263" s="399"/>
      <c r="CO263" s="399">
        <v>-119.12215000000002</v>
      </c>
      <c r="CP263" s="399">
        <v>29.490300000000005</v>
      </c>
      <c r="CQ263" s="399">
        <v>31</v>
      </c>
      <c r="CR263" s="399">
        <v>30.720574702569365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4.0334975006999798</v>
      </c>
      <c r="DA263" s="399">
        <v>0</v>
      </c>
      <c r="DB263" s="399">
        <v>0</v>
      </c>
      <c r="DC263" s="399">
        <v>29.489741310885336</v>
      </c>
      <c r="DD263" s="399">
        <v>0</v>
      </c>
      <c r="DE263" s="399">
        <v>0</v>
      </c>
      <c r="DF263" s="399">
        <v>0</v>
      </c>
      <c r="DG263" s="399">
        <v>0.30109797682099915</v>
      </c>
      <c r="DH263" s="399">
        <v>0</v>
      </c>
      <c r="DI263" s="399">
        <v>-2.6948360176800676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-0.32564352452204481</v>
      </c>
      <c r="DP263" s="399">
        <v>-8.328254363474108E-2</v>
      </c>
      <c r="DQ263" s="399">
        <v>0</v>
      </c>
      <c r="DR263" s="399">
        <v>0</v>
      </c>
      <c r="DS263" s="399"/>
      <c r="DT263" s="399"/>
      <c r="DU263" s="399"/>
      <c r="DV263" s="399">
        <v>274.29938359951171</v>
      </c>
      <c r="DW263" s="399">
        <v>0</v>
      </c>
      <c r="DX263" s="399">
        <v>0</v>
      </c>
      <c r="DY263" s="399">
        <v>-119.12215000000003</v>
      </c>
      <c r="DZ263" s="399">
        <v>29.490300000000019</v>
      </c>
      <c r="EA263" s="399">
        <v>0</v>
      </c>
      <c r="EB263" s="399">
        <v>0</v>
      </c>
      <c r="EC263" s="399">
        <v>-120.35497318506478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216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263</v>
      </c>
      <c r="B264" s="399" t="s">
        <v>954</v>
      </c>
      <c r="C264" s="399" t="s">
        <v>2352</v>
      </c>
      <c r="D264" s="399" t="s">
        <v>2363</v>
      </c>
      <c r="E264" s="399" t="s">
        <v>892</v>
      </c>
      <c r="F264" s="399" t="s">
        <v>2373</v>
      </c>
      <c r="G264" s="399" t="s">
        <v>2372</v>
      </c>
      <c r="H264" s="399" t="s">
        <v>1237</v>
      </c>
      <c r="I264" s="399" t="s">
        <v>1237</v>
      </c>
      <c r="J264" s="399" t="s">
        <v>2353</v>
      </c>
      <c r="K264" s="789">
        <v>44621</v>
      </c>
      <c r="L264" s="399">
        <v>0</v>
      </c>
      <c r="M264" s="399">
        <v>0</v>
      </c>
      <c r="N264" s="399">
        <v>2.3809999999999998</v>
      </c>
      <c r="O264" s="399">
        <v>0.95240000000000002</v>
      </c>
      <c r="P264" s="399">
        <v>2.3809999999999998</v>
      </c>
      <c r="Q264" s="399">
        <v>0.95240000000000002</v>
      </c>
      <c r="R264" s="399"/>
      <c r="S264" s="399">
        <v>415.98</v>
      </c>
      <c r="T264" s="399">
        <v>215.17</v>
      </c>
      <c r="U264" s="399"/>
      <c r="V264" s="399">
        <v>1502.7681499999999</v>
      </c>
      <c r="W264" s="399">
        <v>1502.7681499999999</v>
      </c>
      <c r="X264" s="399">
        <v>1306.0737399999998</v>
      </c>
      <c r="Y264" s="399">
        <v>0</v>
      </c>
      <c r="Z264" s="399">
        <v>145.44719006225972</v>
      </c>
      <c r="AA264" s="399">
        <v>0</v>
      </c>
      <c r="AB264" s="399">
        <v>0</v>
      </c>
      <c r="AC264" s="399">
        <v>0</v>
      </c>
      <c r="AD264" s="399">
        <v>212.66038980154283</v>
      </c>
      <c r="AE264" s="399">
        <v>601.94178096814505</v>
      </c>
      <c r="AF264" s="399">
        <v>501.82417338907783</v>
      </c>
      <c r="AG264" s="399">
        <v>10.493006129679785</v>
      </c>
      <c r="AH264" s="399">
        <v>0</v>
      </c>
      <c r="AI264" s="399">
        <v>0</v>
      </c>
      <c r="AJ264" s="399">
        <v>0</v>
      </c>
      <c r="AK264" s="399">
        <v>0</v>
      </c>
      <c r="AL264" s="399">
        <v>22.475321776946352</v>
      </c>
      <c r="AM264" s="399"/>
      <c r="AN264" s="399">
        <v>2.8033833971190161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5.1237561474147242</v>
      </c>
      <c r="BH264" s="399">
        <v>0</v>
      </c>
      <c r="BI264" s="399">
        <v>0</v>
      </c>
      <c r="BJ264" s="399">
        <v>0</v>
      </c>
      <c r="BK264" s="399">
        <v>0</v>
      </c>
      <c r="BL264" s="399">
        <v>0</v>
      </c>
      <c r="BM264" s="399"/>
      <c r="BN264" s="399"/>
      <c r="BO264" s="399"/>
      <c r="BP264" s="399"/>
      <c r="BQ264" s="399"/>
      <c r="BR264" s="399"/>
      <c r="BS264" s="399">
        <v>846.33121199999982</v>
      </c>
      <c r="BT264" s="399"/>
      <c r="BU264" s="399"/>
      <c r="BV264" s="399">
        <v>506.94792953649255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458.58399999999995</v>
      </c>
      <c r="CJ264" s="399">
        <v>-70.418484000000035</v>
      </c>
      <c r="CK264" s="399"/>
      <c r="CL264" s="399"/>
      <c r="CM264" s="399"/>
      <c r="CN264" s="399"/>
      <c r="CO264" s="399">
        <v>-261.40999000000005</v>
      </c>
      <c r="CP264" s="399">
        <v>64.715580000000017</v>
      </c>
      <c r="CQ264" s="399">
        <v>31</v>
      </c>
      <c r="CR264" s="399">
        <v>67.415380983242471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8.851389446236567</v>
      </c>
      <c r="DA264" s="399">
        <v>0</v>
      </c>
      <c r="DB264" s="399">
        <v>0</v>
      </c>
      <c r="DC264" s="399">
        <v>64.714353973472839</v>
      </c>
      <c r="DD264" s="399">
        <v>0</v>
      </c>
      <c r="DE264" s="399">
        <v>0</v>
      </c>
      <c r="DF264" s="399">
        <v>0</v>
      </c>
      <c r="DG264" s="399">
        <v>0.6607504910698605</v>
      </c>
      <c r="DH264" s="399">
        <v>0</v>
      </c>
      <c r="DI264" s="399">
        <v>-5.9137369199043803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-0.71461496026450888</v>
      </c>
      <c r="DP264" s="399">
        <v>-0.18276104736803545</v>
      </c>
      <c r="DQ264" s="399">
        <v>0</v>
      </c>
      <c r="DR264" s="399">
        <v>0</v>
      </c>
      <c r="DS264" s="399"/>
      <c r="DT264" s="399"/>
      <c r="DU264" s="399"/>
      <c r="DV264" s="399">
        <v>601.94178096814505</v>
      </c>
      <c r="DW264" s="399">
        <v>0</v>
      </c>
      <c r="DX264" s="399">
        <v>0</v>
      </c>
      <c r="DY264" s="399">
        <v>-261.40998999999999</v>
      </c>
      <c r="DZ264" s="399">
        <v>64.715579999999932</v>
      </c>
      <c r="EA264" s="399">
        <v>0</v>
      </c>
      <c r="EB264" s="399">
        <v>0</v>
      </c>
      <c r="EC264" s="399">
        <v>-264.11538355174127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216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264</v>
      </c>
      <c r="B265" s="399" t="s">
        <v>954</v>
      </c>
      <c r="C265" s="399" t="s">
        <v>2352</v>
      </c>
      <c r="D265" s="399" t="s">
        <v>1821</v>
      </c>
      <c r="E265" s="399" t="s">
        <v>887</v>
      </c>
      <c r="F265" s="399" t="s">
        <v>887</v>
      </c>
      <c r="G265" s="399" t="s">
        <v>1237</v>
      </c>
      <c r="H265" s="399" t="s">
        <v>1237</v>
      </c>
      <c r="I265" s="399" t="s">
        <v>1237</v>
      </c>
      <c r="J265" s="399" t="s">
        <v>2353</v>
      </c>
      <c r="K265" s="789">
        <v>44652</v>
      </c>
      <c r="L265" s="399">
        <v>0</v>
      </c>
      <c r="M265" s="399">
        <v>0</v>
      </c>
      <c r="N265" s="399">
        <v>474.12099999999998</v>
      </c>
      <c r="O265" s="399">
        <v>474.12099999999998</v>
      </c>
      <c r="P265" s="399">
        <v>474.12099999999998</v>
      </c>
      <c r="Q265" s="399">
        <v>474.12099999999998</v>
      </c>
      <c r="R265" s="399"/>
      <c r="S265" s="399">
        <v>415.98</v>
      </c>
      <c r="T265" s="399">
        <v>215.17</v>
      </c>
      <c r="U265" s="399"/>
      <c r="V265" s="399">
        <v>299241.46915000002</v>
      </c>
      <c r="W265" s="399">
        <v>299241.46915000002</v>
      </c>
      <c r="X265" s="399">
        <v>260074.33333999995</v>
      </c>
      <c r="Y265" s="399">
        <v>0</v>
      </c>
      <c r="Z265" s="399">
        <v>28962.438975014131</v>
      </c>
      <c r="AA265" s="399">
        <v>0</v>
      </c>
      <c r="AB265" s="399">
        <v>0</v>
      </c>
      <c r="AC265" s="399">
        <v>0</v>
      </c>
      <c r="AD265" s="399">
        <v>42346.390874883371</v>
      </c>
      <c r="AE265" s="399">
        <v>119862.76318118349</v>
      </c>
      <c r="AF265" s="399">
        <v>99926.660609577055</v>
      </c>
      <c r="AG265" s="399">
        <v>2089.4391260856401</v>
      </c>
      <c r="AH265" s="399">
        <v>0</v>
      </c>
      <c r="AI265" s="399">
        <v>0</v>
      </c>
      <c r="AJ265" s="399">
        <v>0</v>
      </c>
      <c r="AK265" s="399">
        <v>0</v>
      </c>
      <c r="AL265" s="399">
        <v>4475.4397464122558</v>
      </c>
      <c r="AM265" s="399"/>
      <c r="AN265" s="399">
        <v>558.22887006529402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1020.2773575675836</v>
      </c>
      <c r="BH265" s="399">
        <v>0</v>
      </c>
      <c r="BI265" s="399">
        <v>0</v>
      </c>
      <c r="BJ265" s="399">
        <v>0</v>
      </c>
      <c r="BK265" s="399">
        <v>62937.279999999999</v>
      </c>
      <c r="BL265" s="399">
        <v>2814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100946.93796714464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260073.78480000002</v>
      </c>
      <c r="CJ265" s="399">
        <v>-39167.714350000024</v>
      </c>
      <c r="CK265" s="399"/>
      <c r="CL265" s="399"/>
      <c r="CM265" s="399"/>
      <c r="CN265" s="399"/>
      <c r="CO265" s="399">
        <v>-52053.744590000009</v>
      </c>
      <c r="CP265" s="399">
        <v>12886.608780000002</v>
      </c>
      <c r="CQ265" s="399">
        <v>30</v>
      </c>
      <c r="CR265" s="399">
        <v>13424.211611573235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1762.5491875846783</v>
      </c>
      <c r="DA265" s="399">
        <v>0</v>
      </c>
      <c r="DB265" s="399">
        <v>0</v>
      </c>
      <c r="DC265" s="399">
        <v>12886.364645214999</v>
      </c>
      <c r="DD265" s="399">
        <v>0</v>
      </c>
      <c r="DE265" s="399">
        <v>0</v>
      </c>
      <c r="DF265" s="399">
        <v>0</v>
      </c>
      <c r="DG265" s="399">
        <v>131.57315563903114</v>
      </c>
      <c r="DH265" s="399">
        <v>0</v>
      </c>
      <c r="DI265" s="399">
        <v>-1177.5837304502238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-142.29901704139775</v>
      </c>
      <c r="DP265" s="399">
        <v>-36.392629373868203</v>
      </c>
      <c r="DQ265" s="399">
        <v>0</v>
      </c>
      <c r="DR265" s="399">
        <v>0</v>
      </c>
      <c r="DS265" s="399"/>
      <c r="DT265" s="399"/>
      <c r="DU265" s="399"/>
      <c r="DV265" s="399">
        <v>119862.76318118349</v>
      </c>
      <c r="DW265" s="399">
        <v>0</v>
      </c>
      <c r="DX265" s="399">
        <v>0</v>
      </c>
      <c r="DY265" s="399">
        <v>-52053.744590000017</v>
      </c>
      <c r="DZ265" s="399">
        <v>12886.608779999995</v>
      </c>
      <c r="EA265" s="399">
        <v>0</v>
      </c>
      <c r="EB265" s="399">
        <v>0</v>
      </c>
      <c r="EC265" s="399">
        <v>-52592.461052051702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216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265</v>
      </c>
      <c r="B266" s="399" t="s">
        <v>2354</v>
      </c>
      <c r="C266" s="399" t="s">
        <v>2352</v>
      </c>
      <c r="D266" s="399" t="s">
        <v>1821</v>
      </c>
      <c r="E266" s="399" t="s">
        <v>887</v>
      </c>
      <c r="F266" s="399" t="s">
        <v>887</v>
      </c>
      <c r="G266" s="399" t="s">
        <v>1237</v>
      </c>
      <c r="H266" s="399" t="s">
        <v>1237</v>
      </c>
      <c r="I266" s="399" t="s">
        <v>1237</v>
      </c>
      <c r="J266" s="399" t="s">
        <v>2353</v>
      </c>
      <c r="K266" s="789">
        <v>44652</v>
      </c>
      <c r="L266" s="399">
        <v>0</v>
      </c>
      <c r="M266" s="399">
        <v>0</v>
      </c>
      <c r="N266" s="399">
        <v>-0.76</v>
      </c>
      <c r="O266" s="399">
        <v>-0.76</v>
      </c>
      <c r="P266" s="399">
        <v>-0.76</v>
      </c>
      <c r="Q266" s="399">
        <v>-0.76</v>
      </c>
      <c r="R266" s="399"/>
      <c r="S266" s="399">
        <v>415.98</v>
      </c>
      <c r="T266" s="399">
        <v>215.17</v>
      </c>
      <c r="U266" s="399"/>
      <c r="V266" s="399">
        <v>-479.67400000000004</v>
      </c>
      <c r="W266" s="399">
        <v>-479.67400000000004</v>
      </c>
      <c r="X266" s="399">
        <v>-416.8904</v>
      </c>
      <c r="Y266" s="399">
        <v>0</v>
      </c>
      <c r="Z266" s="399">
        <v>-46.425814551582278</v>
      </c>
      <c r="AA266" s="399">
        <v>0</v>
      </c>
      <c r="AB266" s="399">
        <v>0</v>
      </c>
      <c r="AC266" s="399">
        <v>0</v>
      </c>
      <c r="AD266" s="399">
        <v>-67.879838827875929</v>
      </c>
      <c r="AE266" s="399">
        <v>-192.1359737655566</v>
      </c>
      <c r="AF266" s="399">
        <v>-160.17907256434236</v>
      </c>
      <c r="AG266" s="399">
        <v>-3.3493005705823755</v>
      </c>
      <c r="AH266" s="399">
        <v>0</v>
      </c>
      <c r="AI266" s="399">
        <v>0</v>
      </c>
      <c r="AJ266" s="399">
        <v>0</v>
      </c>
      <c r="AK266" s="399">
        <v>0</v>
      </c>
      <c r="AL266" s="399">
        <v>-7.1739792316166433</v>
      </c>
      <c r="AM266" s="399"/>
      <c r="AN266" s="399">
        <v>-0.89482208391871165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-1.6354702528497231</v>
      </c>
      <c r="BH266" s="399">
        <v>0</v>
      </c>
      <c r="BI266" s="399">
        <v>0</v>
      </c>
      <c r="BJ266" s="399">
        <v>0</v>
      </c>
      <c r="BK266" s="399">
        <v>-108.12</v>
      </c>
      <c r="BL266" s="399">
        <v>0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-161.81454281719209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-416.8904</v>
      </c>
      <c r="CJ266" s="399">
        <v>62.753600000000063</v>
      </c>
      <c r="CK266" s="399"/>
      <c r="CL266" s="399"/>
      <c r="CM266" s="399"/>
      <c r="CN266" s="399"/>
      <c r="CO266" s="399">
        <v>83.440400000000011</v>
      </c>
      <c r="CP266" s="399">
        <v>-20.656800000000004</v>
      </c>
      <c r="CQ266" s="399">
        <v>30</v>
      </c>
      <c r="CR266" s="399">
        <v>-21.518559238666114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-2.825307005098594</v>
      </c>
      <c r="DA266" s="399">
        <v>0</v>
      </c>
      <c r="DB266" s="399">
        <v>0</v>
      </c>
      <c r="DC266" s="399">
        <v>-20.656408660159315</v>
      </c>
      <c r="DD266" s="399">
        <v>0</v>
      </c>
      <c r="DE266" s="399">
        <v>0</v>
      </c>
      <c r="DF266" s="399">
        <v>0</v>
      </c>
      <c r="DG266" s="399">
        <v>-0.21090733860272737</v>
      </c>
      <c r="DH266" s="399">
        <v>0</v>
      </c>
      <c r="DI266" s="399">
        <v>1.8876270722920339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0.22810053330576441</v>
      </c>
      <c r="DP266" s="399">
        <v>5.8336159596684922E-2</v>
      </c>
      <c r="DQ266" s="399">
        <v>0</v>
      </c>
      <c r="DR266" s="399">
        <v>0</v>
      </c>
      <c r="DS266" s="399"/>
      <c r="DT266" s="399"/>
      <c r="DU266" s="399"/>
      <c r="DV266" s="399">
        <v>-192.1359737655566</v>
      </c>
      <c r="DW266" s="399">
        <v>0</v>
      </c>
      <c r="DX266" s="399">
        <v>0</v>
      </c>
      <c r="DY266" s="399">
        <v>83.440400000000039</v>
      </c>
      <c r="DZ266" s="399">
        <v>-20.656800000000004</v>
      </c>
      <c r="EA266" s="399">
        <v>0</v>
      </c>
      <c r="EB266" s="399">
        <v>0</v>
      </c>
      <c r="EC266" s="399">
        <v>84.303944350828786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216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266</v>
      </c>
      <c r="B267" s="399" t="s">
        <v>2355</v>
      </c>
      <c r="C267" s="399" t="s">
        <v>2352</v>
      </c>
      <c r="D267" s="399" t="s">
        <v>1821</v>
      </c>
      <c r="E267" s="399" t="s">
        <v>887</v>
      </c>
      <c r="F267" s="399" t="s">
        <v>887</v>
      </c>
      <c r="G267" s="399" t="s">
        <v>1237</v>
      </c>
      <c r="H267" s="399" t="s">
        <v>1237</v>
      </c>
      <c r="I267" s="399" t="s">
        <v>1237</v>
      </c>
      <c r="J267" s="399" t="s">
        <v>2353</v>
      </c>
      <c r="K267" s="789">
        <v>44652</v>
      </c>
      <c r="L267" s="399">
        <v>0</v>
      </c>
      <c r="M267" s="399">
        <v>0</v>
      </c>
      <c r="N267" s="399">
        <v>2.738</v>
      </c>
      <c r="O267" s="399">
        <v>2.738</v>
      </c>
      <c r="P267" s="399">
        <v>2.738</v>
      </c>
      <c r="Q267" s="399">
        <v>2.738</v>
      </c>
      <c r="R267" s="399"/>
      <c r="S267" s="399">
        <v>415.98</v>
      </c>
      <c r="T267" s="399">
        <v>215.17</v>
      </c>
      <c r="U267" s="399"/>
      <c r="V267" s="399">
        <v>1728.0887</v>
      </c>
      <c r="W267" s="399">
        <v>1728.0887</v>
      </c>
      <c r="X267" s="399">
        <v>1501.9025200000001</v>
      </c>
      <c r="Y267" s="399">
        <v>0</v>
      </c>
      <c r="Z267" s="399">
        <v>167.25510558188455</v>
      </c>
      <c r="AA267" s="399">
        <v>0</v>
      </c>
      <c r="AB267" s="399">
        <v>0</v>
      </c>
      <c r="AC267" s="399">
        <v>0</v>
      </c>
      <c r="AD267" s="399">
        <v>244.54605093516352</v>
      </c>
      <c r="AE267" s="399">
        <v>692.19512653959725</v>
      </c>
      <c r="AF267" s="399">
        <v>577.06618510680187</v>
      </c>
      <c r="AG267" s="399">
        <v>12.066296002966507</v>
      </c>
      <c r="AH267" s="399">
        <v>0</v>
      </c>
      <c r="AI267" s="399">
        <v>0</v>
      </c>
      <c r="AJ267" s="399">
        <v>0</v>
      </c>
      <c r="AK267" s="399">
        <v>0</v>
      </c>
      <c r="AL267" s="399">
        <v>25.845204126534696</v>
      </c>
      <c r="AM267" s="399"/>
      <c r="AN267" s="399">
        <v>3.2237142970650425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5.8919967793454502</v>
      </c>
      <c r="BH267" s="399">
        <v>0</v>
      </c>
      <c r="BI267" s="399">
        <v>0</v>
      </c>
      <c r="BJ267" s="399">
        <v>0</v>
      </c>
      <c r="BK267" s="399">
        <v>774.37</v>
      </c>
      <c r="BL267" s="399">
        <v>19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582.95818188614737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1502.9996000000001</v>
      </c>
      <c r="CJ267" s="399">
        <v>-225.11909999999989</v>
      </c>
      <c r="CK267" s="399"/>
      <c r="CL267" s="399"/>
      <c r="CM267" s="399"/>
      <c r="CN267" s="399"/>
      <c r="CO267" s="399">
        <v>-300.60502000000008</v>
      </c>
      <c r="CP267" s="399">
        <v>74.418840000000017</v>
      </c>
      <c r="CQ267" s="399">
        <v>30</v>
      </c>
      <c r="CR267" s="399">
        <v>77.52344104666804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10.178540236789445</v>
      </c>
      <c r="DA267" s="399">
        <v>0</v>
      </c>
      <c r="DB267" s="399">
        <v>0</v>
      </c>
      <c r="DC267" s="399">
        <v>74.417430146731817</v>
      </c>
      <c r="DD267" s="399">
        <v>0</v>
      </c>
      <c r="DE267" s="399">
        <v>0</v>
      </c>
      <c r="DF267" s="399">
        <v>0</v>
      </c>
      <c r="DG267" s="399">
        <v>0.75982143828193038</v>
      </c>
      <c r="DH267" s="399">
        <v>0</v>
      </c>
      <c r="DI267" s="399">
        <v>-6.8004248999152423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-0.82176218446208438</v>
      </c>
      <c r="DP267" s="399">
        <v>-0.21016369075753039</v>
      </c>
      <c r="DQ267" s="399">
        <v>0</v>
      </c>
      <c r="DR267" s="399">
        <v>0</v>
      </c>
      <c r="DS267" s="399"/>
      <c r="DT267" s="399"/>
      <c r="DU267" s="399"/>
      <c r="DV267" s="399">
        <v>692.19512653959725</v>
      </c>
      <c r="DW267" s="399">
        <v>0</v>
      </c>
      <c r="DX267" s="399">
        <v>0</v>
      </c>
      <c r="DY267" s="399">
        <v>-300.60502000000008</v>
      </c>
      <c r="DZ267" s="399">
        <v>74.418840000000046</v>
      </c>
      <c r="EA267" s="399">
        <v>0</v>
      </c>
      <c r="EB267" s="399">
        <v>0</v>
      </c>
      <c r="EC267" s="399">
        <v>-303.71605214811734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216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267</v>
      </c>
      <c r="B268" s="399" t="s">
        <v>954</v>
      </c>
      <c r="C268" s="399" t="s">
        <v>2352</v>
      </c>
      <c r="D268" s="399" t="s">
        <v>1821</v>
      </c>
      <c r="E268" s="399" t="s">
        <v>887</v>
      </c>
      <c r="F268" s="399" t="s">
        <v>2356</v>
      </c>
      <c r="G268" s="399" t="s">
        <v>1237</v>
      </c>
      <c r="H268" s="399" t="s">
        <v>1237</v>
      </c>
      <c r="I268" s="399" t="s">
        <v>1237</v>
      </c>
      <c r="J268" s="399" t="s">
        <v>2353</v>
      </c>
      <c r="K268" s="789">
        <v>44652</v>
      </c>
      <c r="L268" s="399">
        <v>0</v>
      </c>
      <c r="M268" s="399">
        <v>0</v>
      </c>
      <c r="N268" s="399">
        <v>7.5</v>
      </c>
      <c r="O268" s="399">
        <v>7.5</v>
      </c>
      <c r="P268" s="399">
        <v>7.5</v>
      </c>
      <c r="Q268" s="399">
        <v>7.5</v>
      </c>
      <c r="R268" s="399"/>
      <c r="S268" s="399">
        <v>345.46</v>
      </c>
      <c r="T268" s="399">
        <v>215.17</v>
      </c>
      <c r="U268" s="399"/>
      <c r="V268" s="399">
        <v>4204.7249999999995</v>
      </c>
      <c r="W268" s="399">
        <v>4204.7249999999995</v>
      </c>
      <c r="X268" s="399">
        <v>3606</v>
      </c>
      <c r="Y268" s="399">
        <v>0</v>
      </c>
      <c r="Z268" s="399">
        <v>0</v>
      </c>
      <c r="AA268" s="399">
        <v>0</v>
      </c>
      <c r="AB268" s="399">
        <v>0</v>
      </c>
      <c r="AC268" s="399">
        <v>0</v>
      </c>
      <c r="AD268" s="399">
        <v>669.86683053824925</v>
      </c>
      <c r="AE268" s="399">
        <v>1896.0786884758875</v>
      </c>
      <c r="AF268" s="399">
        <v>1580.7145318849575</v>
      </c>
      <c r="AG268" s="399">
        <v>33.052308262326079</v>
      </c>
      <c r="AH268" s="399">
        <v>0</v>
      </c>
      <c r="AI268" s="399">
        <v>0</v>
      </c>
      <c r="AJ268" s="399">
        <v>0</v>
      </c>
      <c r="AK268" s="399">
        <v>0</v>
      </c>
      <c r="AL268" s="399">
        <v>0</v>
      </c>
      <c r="AM268" s="399"/>
      <c r="AN268" s="399">
        <v>8.8304810913030742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16.139509074174899</v>
      </c>
      <c r="BH268" s="399">
        <v>0</v>
      </c>
      <c r="BI268" s="399">
        <v>0</v>
      </c>
      <c r="BJ268" s="399">
        <v>0</v>
      </c>
      <c r="BK268" s="399">
        <v>170</v>
      </c>
      <c r="BL268" s="399">
        <v>11</v>
      </c>
      <c r="BM268" s="399"/>
      <c r="BN268" s="399"/>
      <c r="BO268" s="399"/>
      <c r="BP268" s="399"/>
      <c r="BQ268" s="399"/>
      <c r="BR268" s="399"/>
      <c r="BS268" s="399"/>
      <c r="BT268" s="399">
        <v>2343.9</v>
      </c>
      <c r="BU268" s="399"/>
      <c r="BV268" s="399">
        <v>1596.8540409591324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1262.0999999999999</v>
      </c>
      <c r="CJ268" s="399">
        <v>-209.58000000000015</v>
      </c>
      <c r="CK268" s="399"/>
      <c r="CL268" s="399"/>
      <c r="CM268" s="399"/>
      <c r="CN268" s="399"/>
      <c r="CO268" s="399">
        <v>-802.57499999999993</v>
      </c>
      <c r="CP268" s="399">
        <v>203.85000000000005</v>
      </c>
      <c r="CQ268" s="399">
        <v>30</v>
      </c>
      <c r="CR268" s="399">
        <v>233.23309385786797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27.881319129262579</v>
      </c>
      <c r="DA268" s="399">
        <v>0</v>
      </c>
      <c r="DB268" s="399">
        <v>0</v>
      </c>
      <c r="DC268" s="399">
        <v>203.84613809367738</v>
      </c>
      <c r="DD268" s="399">
        <v>0</v>
      </c>
      <c r="DE268" s="399">
        <v>0</v>
      </c>
      <c r="DF268" s="399">
        <v>0</v>
      </c>
      <c r="DG268" s="399">
        <v>2.0813224204216532</v>
      </c>
      <c r="DH268" s="399">
        <v>0</v>
      </c>
      <c r="DI268" s="399">
        <v>0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0</v>
      </c>
      <c r="DP268" s="399">
        <v>-0.57568578549360083</v>
      </c>
      <c r="DQ268" s="399">
        <v>0</v>
      </c>
      <c r="DR268" s="399">
        <v>0</v>
      </c>
      <c r="DS268" s="399"/>
      <c r="DT268" s="399"/>
      <c r="DU268" s="399"/>
      <c r="DV268" s="399">
        <v>1896.0786884758875</v>
      </c>
      <c r="DW268" s="399">
        <v>0</v>
      </c>
      <c r="DX268" s="399">
        <v>0</v>
      </c>
      <c r="DY268" s="399">
        <v>-802.57499999999982</v>
      </c>
      <c r="DZ268" s="399">
        <v>203.85000000000014</v>
      </c>
      <c r="EA268" s="399">
        <v>0</v>
      </c>
      <c r="EB268" s="399">
        <v>0</v>
      </c>
      <c r="EC268" s="399">
        <v>-831.94681925159989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216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268</v>
      </c>
      <c r="B269" s="399" t="s">
        <v>954</v>
      </c>
      <c r="C269" s="399" t="s">
        <v>2352</v>
      </c>
      <c r="D269" s="399" t="s">
        <v>1821</v>
      </c>
      <c r="E269" s="399" t="s">
        <v>887</v>
      </c>
      <c r="F269" s="399" t="s">
        <v>2357</v>
      </c>
      <c r="G269" s="399" t="s">
        <v>1237</v>
      </c>
      <c r="H269" s="399" t="s">
        <v>1237</v>
      </c>
      <c r="I269" s="399" t="s">
        <v>1237</v>
      </c>
      <c r="J269" s="399" t="s">
        <v>2353</v>
      </c>
      <c r="K269" s="789">
        <v>44652</v>
      </c>
      <c r="L269" s="399">
        <v>0</v>
      </c>
      <c r="M269" s="399">
        <v>0</v>
      </c>
      <c r="N269" s="399">
        <v>15.435</v>
      </c>
      <c r="O269" s="399">
        <v>15.435</v>
      </c>
      <c r="P269" s="399">
        <v>15.435</v>
      </c>
      <c r="Q269" s="399">
        <v>15.435</v>
      </c>
      <c r="R269" s="399"/>
      <c r="S269" s="399">
        <v>345.46</v>
      </c>
      <c r="T269" s="399">
        <v>215.17</v>
      </c>
      <c r="U269" s="399"/>
      <c r="V269" s="399">
        <v>8653.3240499999993</v>
      </c>
      <c r="W269" s="399">
        <v>8653.3240499999993</v>
      </c>
      <c r="X269" s="399">
        <v>7421.1480000000001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1378.5859372477171</v>
      </c>
      <c r="AE269" s="399">
        <v>3902.1299408833765</v>
      </c>
      <c r="AF269" s="399">
        <v>3253.1105066192426</v>
      </c>
      <c r="AG269" s="399">
        <v>68.021650403867071</v>
      </c>
      <c r="AH269" s="399">
        <v>0</v>
      </c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18.173130085901729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33.215109674651941</v>
      </c>
      <c r="BH269" s="399">
        <v>0</v>
      </c>
      <c r="BI269" s="399">
        <v>0</v>
      </c>
      <c r="BJ269" s="399">
        <v>0</v>
      </c>
      <c r="BK269" s="399">
        <v>606.5</v>
      </c>
      <c r="BL269" s="399">
        <v>48</v>
      </c>
      <c r="BM269" s="399"/>
      <c r="BN269" s="399"/>
      <c r="BO269" s="399"/>
      <c r="BP269" s="399"/>
      <c r="BQ269" s="399"/>
      <c r="BR269" s="399"/>
      <c r="BS269" s="399"/>
      <c r="BT269" s="399">
        <v>2968.4592000000002</v>
      </c>
      <c r="BU269" s="399"/>
      <c r="BV269" s="399">
        <v>3286.3256162938947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4454.1311999999998</v>
      </c>
      <c r="CJ269" s="399">
        <v>-737.7697500000013</v>
      </c>
      <c r="CK269" s="399"/>
      <c r="CL269" s="399"/>
      <c r="CM269" s="399"/>
      <c r="CN269" s="399"/>
      <c r="CO269" s="399">
        <v>-1651.6993499999999</v>
      </c>
      <c r="CP269" s="399">
        <v>419.52330000000012</v>
      </c>
      <c r="CQ269" s="399">
        <v>30</v>
      </c>
      <c r="CR269" s="399">
        <v>479.99370715949226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57.379754768022167</v>
      </c>
      <c r="DA269" s="399">
        <v>0</v>
      </c>
      <c r="DB269" s="399">
        <v>0</v>
      </c>
      <c r="DC269" s="399">
        <v>419.51535219678817</v>
      </c>
      <c r="DD269" s="399">
        <v>0</v>
      </c>
      <c r="DE269" s="399">
        <v>0</v>
      </c>
      <c r="DF269" s="399">
        <v>0</v>
      </c>
      <c r="DG269" s="399">
        <v>4.2833615412277624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0</v>
      </c>
      <c r="DP269" s="399">
        <v>-1.1847613465458302</v>
      </c>
      <c r="DQ269" s="399">
        <v>0</v>
      </c>
      <c r="DR269" s="399">
        <v>0</v>
      </c>
      <c r="DS269" s="399"/>
      <c r="DT269" s="399"/>
      <c r="DU269" s="399"/>
      <c r="DV269" s="399">
        <v>3902.1299408833765</v>
      </c>
      <c r="DW269" s="399">
        <v>0</v>
      </c>
      <c r="DX269" s="399">
        <v>0</v>
      </c>
      <c r="DY269" s="399">
        <v>-1651.6993499999994</v>
      </c>
      <c r="DZ269" s="399">
        <v>419.52330000000029</v>
      </c>
      <c r="EA269" s="399">
        <v>0</v>
      </c>
      <c r="EB269" s="399">
        <v>0</v>
      </c>
      <c r="EC269" s="399">
        <v>-1712.1465540197928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216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269</v>
      </c>
      <c r="B270" s="399" t="s">
        <v>954</v>
      </c>
      <c r="C270" s="399" t="s">
        <v>2352</v>
      </c>
      <c r="D270" s="399" t="s">
        <v>1821</v>
      </c>
      <c r="E270" s="399" t="s">
        <v>887</v>
      </c>
      <c r="F270" s="399" t="s">
        <v>2358</v>
      </c>
      <c r="G270" s="399" t="s">
        <v>1237</v>
      </c>
      <c r="H270" s="399" t="s">
        <v>1237</v>
      </c>
      <c r="I270" s="399" t="s">
        <v>1237</v>
      </c>
      <c r="J270" s="399" t="s">
        <v>2353</v>
      </c>
      <c r="K270" s="789">
        <v>44652</v>
      </c>
      <c r="L270" s="399">
        <v>0</v>
      </c>
      <c r="M270" s="399">
        <v>0</v>
      </c>
      <c r="N270" s="399">
        <v>14.488</v>
      </c>
      <c r="O270" s="399">
        <v>14.488</v>
      </c>
      <c r="P270" s="399">
        <v>14.488</v>
      </c>
      <c r="Q270" s="399">
        <v>14.488</v>
      </c>
      <c r="R270" s="399"/>
      <c r="S270" s="399">
        <v>345.46</v>
      </c>
      <c r="T270" s="399">
        <v>215.17</v>
      </c>
      <c r="U270" s="399"/>
      <c r="V270" s="399">
        <v>8122.407439999999</v>
      </c>
      <c r="W270" s="399">
        <v>8122.407439999999</v>
      </c>
      <c r="X270" s="399">
        <v>6965.8303999999998</v>
      </c>
      <c r="Y270" s="399">
        <v>0</v>
      </c>
      <c r="Z270" s="399">
        <v>0</v>
      </c>
      <c r="AA270" s="399">
        <v>0</v>
      </c>
      <c r="AB270" s="399">
        <v>0</v>
      </c>
      <c r="AC270" s="399">
        <v>0</v>
      </c>
      <c r="AD270" s="399">
        <v>1294.0040854450874</v>
      </c>
      <c r="AE270" s="399">
        <v>3662.7184051518207</v>
      </c>
      <c r="AF270" s="399">
        <v>3053.5189517265685</v>
      </c>
      <c r="AG270" s="399">
        <v>63.848245613944023</v>
      </c>
      <c r="AH270" s="399">
        <v>0</v>
      </c>
      <c r="AI270" s="399">
        <v>0</v>
      </c>
      <c r="AJ270" s="399">
        <v>0</v>
      </c>
      <c r="AK270" s="399">
        <v>0</v>
      </c>
      <c r="AL270" s="399">
        <v>0</v>
      </c>
      <c r="AM270" s="399"/>
      <c r="AN270" s="399">
        <v>17.058134673439859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31.177227662219458</v>
      </c>
      <c r="BH270" s="399">
        <v>0</v>
      </c>
      <c r="BI270" s="399">
        <v>0</v>
      </c>
      <c r="BJ270" s="399">
        <v>0</v>
      </c>
      <c r="BK270" s="399">
        <v>1390.33</v>
      </c>
      <c r="BL270" s="399">
        <v>134</v>
      </c>
      <c r="BM270" s="399"/>
      <c r="BN270" s="399"/>
      <c r="BO270" s="399"/>
      <c r="BP270" s="399"/>
      <c r="BQ270" s="399"/>
      <c r="BR270" s="399"/>
      <c r="BS270" s="399"/>
      <c r="BT270" s="399">
        <v>696.72791999999959</v>
      </c>
      <c r="BU270" s="399"/>
      <c r="BV270" s="399">
        <v>3084.6961793887881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6269.9679000000006</v>
      </c>
      <c r="CJ270" s="399">
        <v>-1040.1273800000008</v>
      </c>
      <c r="CK270" s="399"/>
      <c r="CL270" s="399"/>
      <c r="CM270" s="399"/>
      <c r="CN270" s="399"/>
      <c r="CO270" s="399">
        <v>-1550.3608799999997</v>
      </c>
      <c r="CP270" s="399">
        <v>393.78384000000011</v>
      </c>
      <c r="CQ270" s="399">
        <v>30</v>
      </c>
      <c r="CR270" s="399">
        <v>450.54414184170491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53.859273539300602</v>
      </c>
      <c r="DA270" s="399">
        <v>0</v>
      </c>
      <c r="DB270" s="399">
        <v>0</v>
      </c>
      <c r="DC270" s="399">
        <v>393.77637982682654</v>
      </c>
      <c r="DD270" s="399">
        <v>0</v>
      </c>
      <c r="DE270" s="399">
        <v>0</v>
      </c>
      <c r="DF270" s="399">
        <v>0</v>
      </c>
      <c r="DG270" s="399">
        <v>4.0205598969425154</v>
      </c>
      <c r="DH270" s="399">
        <v>0</v>
      </c>
      <c r="DI270" s="399">
        <v>0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0</v>
      </c>
      <c r="DP270" s="399">
        <v>-1.1120714213641723</v>
      </c>
      <c r="DQ270" s="399">
        <v>0</v>
      </c>
      <c r="DR270" s="399">
        <v>0</v>
      </c>
      <c r="DS270" s="399"/>
      <c r="DT270" s="399"/>
      <c r="DU270" s="399"/>
      <c r="DV270" s="399">
        <v>3662.7184051518207</v>
      </c>
      <c r="DW270" s="399">
        <v>0</v>
      </c>
      <c r="DX270" s="399">
        <v>0</v>
      </c>
      <c r="DY270" s="399">
        <v>-1550.3608799999993</v>
      </c>
      <c r="DZ270" s="399">
        <v>393.78384000000005</v>
      </c>
      <c r="EA270" s="399">
        <v>0</v>
      </c>
      <c r="EB270" s="399">
        <v>0</v>
      </c>
      <c r="EC270" s="399">
        <v>-1607.099402308957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216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270</v>
      </c>
      <c r="B271" s="399" t="s">
        <v>954</v>
      </c>
      <c r="C271" s="399" t="s">
        <v>2352</v>
      </c>
      <c r="D271" s="399" t="s">
        <v>1821</v>
      </c>
      <c r="E271" s="399" t="s">
        <v>887</v>
      </c>
      <c r="F271" s="399" t="s">
        <v>2359</v>
      </c>
      <c r="G271" s="399" t="s">
        <v>1237</v>
      </c>
      <c r="H271" s="399" t="s">
        <v>1237</v>
      </c>
      <c r="I271" s="399" t="s">
        <v>1237</v>
      </c>
      <c r="J271" s="399" t="s">
        <v>2353</v>
      </c>
      <c r="K271" s="789">
        <v>44652</v>
      </c>
      <c r="L271" s="399">
        <v>0</v>
      </c>
      <c r="M271" s="399">
        <v>0</v>
      </c>
      <c r="N271" s="399">
        <v>4.3879999999999999</v>
      </c>
      <c r="O271" s="399">
        <v>4.3879999999999999</v>
      </c>
      <c r="P271" s="399">
        <v>4.3879999999999999</v>
      </c>
      <c r="Q271" s="399">
        <v>4.3879999999999999</v>
      </c>
      <c r="R271" s="399"/>
      <c r="S271" s="399">
        <v>345.46</v>
      </c>
      <c r="T271" s="399">
        <v>215.17</v>
      </c>
      <c r="U271" s="399"/>
      <c r="V271" s="399">
        <v>2460.0444399999997</v>
      </c>
      <c r="W271" s="399">
        <v>2460.0444399999997</v>
      </c>
      <c r="X271" s="399">
        <v>2109.7503999999999</v>
      </c>
      <c r="Y271" s="399">
        <v>0</v>
      </c>
      <c r="Z271" s="399">
        <v>0</v>
      </c>
      <c r="AA271" s="399">
        <v>0</v>
      </c>
      <c r="AB271" s="399">
        <v>0</v>
      </c>
      <c r="AC271" s="399">
        <v>0</v>
      </c>
      <c r="AD271" s="399">
        <v>391.91675365357838</v>
      </c>
      <c r="AE271" s="399">
        <v>1109.3324380042925</v>
      </c>
      <c r="AF271" s="399">
        <v>924.8233821214925</v>
      </c>
      <c r="AG271" s="399">
        <v>19.337803820678243</v>
      </c>
      <c r="AH271" s="399">
        <v>0</v>
      </c>
      <c r="AI271" s="399">
        <v>0</v>
      </c>
      <c r="AJ271" s="399">
        <v>0</v>
      </c>
      <c r="AK271" s="399">
        <v>0</v>
      </c>
      <c r="AL271" s="399">
        <v>0</v>
      </c>
      <c r="AM271" s="399"/>
      <c r="AN271" s="399">
        <v>5.1664201371517189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9.4426887756639282</v>
      </c>
      <c r="BH271" s="399">
        <v>0</v>
      </c>
      <c r="BI271" s="399">
        <v>0</v>
      </c>
      <c r="BJ271" s="399">
        <v>0</v>
      </c>
      <c r="BK271" s="399">
        <v>703.17</v>
      </c>
      <c r="BL271" s="399">
        <v>57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934.2660708971564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2110.7119999999995</v>
      </c>
      <c r="CJ271" s="399">
        <v>-349.36244000000033</v>
      </c>
      <c r="CK271" s="399"/>
      <c r="CL271" s="399"/>
      <c r="CM271" s="399"/>
      <c r="CN271" s="399"/>
      <c r="CO271" s="399">
        <v>-469.55987999999996</v>
      </c>
      <c r="CP271" s="399">
        <v>119.26584000000003</v>
      </c>
      <c r="CQ271" s="399">
        <v>30</v>
      </c>
      <c r="CR271" s="399">
        <v>136.45690877977654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16.312430445227164</v>
      </c>
      <c r="DA271" s="399">
        <v>0</v>
      </c>
      <c r="DB271" s="399">
        <v>0</v>
      </c>
      <c r="DC271" s="399">
        <v>119.26358052734088</v>
      </c>
      <c r="DD271" s="399">
        <v>0</v>
      </c>
      <c r="DE271" s="399">
        <v>0</v>
      </c>
      <c r="DF271" s="399">
        <v>0</v>
      </c>
      <c r="DG271" s="399">
        <v>1.2177123707746933</v>
      </c>
      <c r="DH271" s="399">
        <v>0</v>
      </c>
      <c r="DI271" s="399">
        <v>0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0</v>
      </c>
      <c r="DP271" s="399">
        <v>-0.33681456356612305</v>
      </c>
      <c r="DQ271" s="399">
        <v>0</v>
      </c>
      <c r="DR271" s="399">
        <v>0</v>
      </c>
      <c r="DS271" s="399"/>
      <c r="DT271" s="399"/>
      <c r="DU271" s="399"/>
      <c r="DV271" s="399">
        <v>1109.3324380042925</v>
      </c>
      <c r="DW271" s="399">
        <v>0</v>
      </c>
      <c r="DX271" s="399">
        <v>0</v>
      </c>
      <c r="DY271" s="399">
        <v>-469.55988000000002</v>
      </c>
      <c r="DZ271" s="399">
        <v>119.26583999999991</v>
      </c>
      <c r="EA271" s="399">
        <v>0</v>
      </c>
      <c r="EB271" s="399">
        <v>0</v>
      </c>
      <c r="EC271" s="399">
        <v>-486.74435238346928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216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271</v>
      </c>
      <c r="B272" s="399" t="s">
        <v>954</v>
      </c>
      <c r="C272" s="399" t="s">
        <v>2352</v>
      </c>
      <c r="D272" s="399" t="s">
        <v>1824</v>
      </c>
      <c r="E272" s="399" t="s">
        <v>888</v>
      </c>
      <c r="F272" s="399" t="s">
        <v>1237</v>
      </c>
      <c r="G272" s="399" t="s">
        <v>1237</v>
      </c>
      <c r="H272" s="399" t="s">
        <v>1237</v>
      </c>
      <c r="I272" s="399" t="s">
        <v>1237</v>
      </c>
      <c r="J272" s="399" t="s">
        <v>2353</v>
      </c>
      <c r="K272" s="789">
        <v>44652</v>
      </c>
      <c r="L272" s="399">
        <v>0</v>
      </c>
      <c r="M272" s="399">
        <v>0</v>
      </c>
      <c r="N272" s="399">
        <v>38.97</v>
      </c>
      <c r="O272" s="399">
        <v>38.97</v>
      </c>
      <c r="P272" s="399">
        <v>38.97</v>
      </c>
      <c r="Q272" s="399">
        <v>38.97</v>
      </c>
      <c r="R272" s="399"/>
      <c r="S272" s="399">
        <v>415.98</v>
      </c>
      <c r="T272" s="399">
        <v>215.17</v>
      </c>
      <c r="U272" s="399"/>
      <c r="V272" s="399">
        <v>24595.915500000003</v>
      </c>
      <c r="W272" s="399">
        <v>24595.915500000003</v>
      </c>
      <c r="X272" s="399">
        <v>21376.603799999997</v>
      </c>
      <c r="Y272" s="399">
        <v>0</v>
      </c>
      <c r="Z272" s="399">
        <v>2380.5447277304752</v>
      </c>
      <c r="AA272" s="399">
        <v>0</v>
      </c>
      <c r="AB272" s="399">
        <v>0</v>
      </c>
      <c r="AC272" s="399">
        <v>0</v>
      </c>
      <c r="AD272" s="399">
        <v>3480.6280514767432</v>
      </c>
      <c r="AE272" s="399">
        <v>9852.0248653207109</v>
      </c>
      <c r="AF272" s="399">
        <v>8213.3927076742402</v>
      </c>
      <c r="AG272" s="399">
        <v>171.73979373104629</v>
      </c>
      <c r="AH272" s="399">
        <v>0</v>
      </c>
      <c r="AI272" s="399">
        <v>0</v>
      </c>
      <c r="AJ272" s="399">
        <v>0</v>
      </c>
      <c r="AK272" s="399">
        <v>0</v>
      </c>
      <c r="AL272" s="399">
        <v>367.85522454750077</v>
      </c>
      <c r="AM272" s="399"/>
      <c r="AN272" s="399">
        <v>45.883179750410775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83.86088914941277</v>
      </c>
      <c r="BH272" s="399">
        <v>0</v>
      </c>
      <c r="BI272" s="399">
        <v>0</v>
      </c>
      <c r="BJ272" s="399">
        <v>0</v>
      </c>
      <c r="BK272" s="399">
        <v>8808.44</v>
      </c>
      <c r="BL272" s="399">
        <v>38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8297.2535968236534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21376.603799999997</v>
      </c>
      <c r="CJ272" s="399">
        <v>-3219.3417000000009</v>
      </c>
      <c r="CK272" s="399"/>
      <c r="CL272" s="399"/>
      <c r="CM272" s="399"/>
      <c r="CN272" s="399"/>
      <c r="CO272" s="399">
        <v>-4278.5163000000002</v>
      </c>
      <c r="CP272" s="399">
        <v>1059.2046000000003</v>
      </c>
      <c r="CQ272" s="399">
        <v>30</v>
      </c>
      <c r="CR272" s="399">
        <v>1103.3924388563428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144.87133419564816</v>
      </c>
      <c r="DA272" s="399">
        <v>0</v>
      </c>
      <c r="DB272" s="399">
        <v>0</v>
      </c>
      <c r="DC272" s="399">
        <v>1059.184533534748</v>
      </c>
      <c r="DD272" s="399">
        <v>0</v>
      </c>
      <c r="DE272" s="399">
        <v>0</v>
      </c>
      <c r="DF272" s="399">
        <v>0</v>
      </c>
      <c r="DG272" s="399">
        <v>10.814551296510899</v>
      </c>
      <c r="DH272" s="399">
        <v>0</v>
      </c>
      <c r="DI272" s="399">
        <v>-96.790561851606071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-11.696154977533752</v>
      </c>
      <c r="DP272" s="399">
        <v>-2.991263341424748</v>
      </c>
      <c r="DQ272" s="399">
        <v>0</v>
      </c>
      <c r="DR272" s="399">
        <v>0</v>
      </c>
      <c r="DS272" s="399"/>
      <c r="DT272" s="399"/>
      <c r="DU272" s="399"/>
      <c r="DV272" s="399">
        <v>9852.0248653207109</v>
      </c>
      <c r="DW272" s="399">
        <v>0</v>
      </c>
      <c r="DX272" s="399">
        <v>0</v>
      </c>
      <c r="DY272" s="399">
        <v>-4278.5163000000011</v>
      </c>
      <c r="DZ272" s="399">
        <v>1059.2045999999991</v>
      </c>
      <c r="EA272" s="399">
        <v>0</v>
      </c>
      <c r="EB272" s="399">
        <v>0</v>
      </c>
      <c r="EC272" s="399">
        <v>-4322.7956728313129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216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272</v>
      </c>
      <c r="B273" s="399" t="s">
        <v>2355</v>
      </c>
      <c r="C273" s="399" t="s">
        <v>2352</v>
      </c>
      <c r="D273" s="399" t="s">
        <v>1824</v>
      </c>
      <c r="E273" s="399" t="s">
        <v>888</v>
      </c>
      <c r="F273" s="399" t="s">
        <v>1237</v>
      </c>
      <c r="G273" s="399" t="s">
        <v>1237</v>
      </c>
      <c r="H273" s="399" t="s">
        <v>1237</v>
      </c>
      <c r="I273" s="399" t="s">
        <v>1237</v>
      </c>
      <c r="J273" s="399" t="s">
        <v>2353</v>
      </c>
      <c r="K273" s="789">
        <v>44652</v>
      </c>
      <c r="L273" s="399">
        <v>0</v>
      </c>
      <c r="M273" s="399">
        <v>0</v>
      </c>
      <c r="N273" s="399">
        <v>2.38</v>
      </c>
      <c r="O273" s="399">
        <v>2.38</v>
      </c>
      <c r="P273" s="399">
        <v>2.38</v>
      </c>
      <c r="Q273" s="399">
        <v>2.38</v>
      </c>
      <c r="R273" s="399"/>
      <c r="S273" s="399">
        <v>415.98</v>
      </c>
      <c r="T273" s="399">
        <v>215.17</v>
      </c>
      <c r="U273" s="399"/>
      <c r="V273" s="399">
        <v>1502.1369999999999</v>
      </c>
      <c r="W273" s="399">
        <v>1502.1369999999999</v>
      </c>
      <c r="X273" s="399">
        <v>1305.5252</v>
      </c>
      <c r="Y273" s="399">
        <v>0</v>
      </c>
      <c r="Z273" s="399">
        <v>145.38610346416553</v>
      </c>
      <c r="AA273" s="399">
        <v>0</v>
      </c>
      <c r="AB273" s="399">
        <v>0</v>
      </c>
      <c r="AC273" s="399">
        <v>0</v>
      </c>
      <c r="AD273" s="399">
        <v>212.57107422413776</v>
      </c>
      <c r="AE273" s="399">
        <v>601.68897047634823</v>
      </c>
      <c r="AF273" s="399">
        <v>501.61341145149316</v>
      </c>
      <c r="AG273" s="399">
        <v>10.488599155244808</v>
      </c>
      <c r="AH273" s="399">
        <v>0</v>
      </c>
      <c r="AI273" s="399">
        <v>0</v>
      </c>
      <c r="AJ273" s="399">
        <v>0</v>
      </c>
      <c r="AK273" s="399">
        <v>0</v>
      </c>
      <c r="AL273" s="399">
        <v>22.465882330588961</v>
      </c>
      <c r="AM273" s="399"/>
      <c r="AN273" s="399">
        <v>2.8022059996401758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5.1216042128715014</v>
      </c>
      <c r="BH273" s="399">
        <v>0</v>
      </c>
      <c r="BI273" s="399">
        <v>0</v>
      </c>
      <c r="BJ273" s="399">
        <v>0</v>
      </c>
      <c r="BK273" s="399">
        <v>1286.2</v>
      </c>
      <c r="BL273" s="399">
        <v>3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506.73501566436465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1305.5252</v>
      </c>
      <c r="CJ273" s="399">
        <v>-196.64179999999988</v>
      </c>
      <c r="CK273" s="399"/>
      <c r="CL273" s="399"/>
      <c r="CM273" s="399"/>
      <c r="CN273" s="399"/>
      <c r="CO273" s="399">
        <v>-261.30020000000002</v>
      </c>
      <c r="CP273" s="399">
        <v>64.688400000000016</v>
      </c>
      <c r="CQ273" s="399">
        <v>30</v>
      </c>
      <c r="CR273" s="399">
        <v>67.387067089507127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8.8476719370192995</v>
      </c>
      <c r="DA273" s="399">
        <v>0</v>
      </c>
      <c r="DB273" s="399">
        <v>0</v>
      </c>
      <c r="DC273" s="399">
        <v>64.687174488393623</v>
      </c>
      <c r="DD273" s="399">
        <v>0</v>
      </c>
      <c r="DE273" s="399">
        <v>0</v>
      </c>
      <c r="DF273" s="399">
        <v>0</v>
      </c>
      <c r="DG273" s="399">
        <v>0.66047298141380395</v>
      </c>
      <c r="DH273" s="399">
        <v>0</v>
      </c>
      <c r="DI273" s="399">
        <v>-5.9112532000723945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-0.71431482798384138</v>
      </c>
      <c r="DP273" s="399">
        <v>-0.18268428926330271</v>
      </c>
      <c r="DQ273" s="399">
        <v>0</v>
      </c>
      <c r="DR273" s="399">
        <v>0</v>
      </c>
      <c r="DS273" s="399"/>
      <c r="DT273" s="399"/>
      <c r="DU273" s="399"/>
      <c r="DV273" s="399">
        <v>601.68897047634823</v>
      </c>
      <c r="DW273" s="399">
        <v>0</v>
      </c>
      <c r="DX273" s="399">
        <v>0</v>
      </c>
      <c r="DY273" s="399">
        <v>-261.30020000000013</v>
      </c>
      <c r="DZ273" s="399">
        <v>64.688400000000115</v>
      </c>
      <c r="EA273" s="399">
        <v>0</v>
      </c>
      <c r="EB273" s="399">
        <v>0</v>
      </c>
      <c r="EC273" s="399">
        <v>-264.00445730917431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216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273</v>
      </c>
      <c r="B274" s="399" t="s">
        <v>954</v>
      </c>
      <c r="C274" s="399" t="s">
        <v>2360</v>
      </c>
      <c r="D274" s="399" t="s">
        <v>533</v>
      </c>
      <c r="E274" s="399" t="s">
        <v>888</v>
      </c>
      <c r="F274" s="399" t="s">
        <v>1237</v>
      </c>
      <c r="G274" s="399" t="s">
        <v>1237</v>
      </c>
      <c r="H274" s="399" t="s">
        <v>1237</v>
      </c>
      <c r="I274" s="399" t="s">
        <v>891</v>
      </c>
      <c r="J274" s="399" t="s">
        <v>2353</v>
      </c>
      <c r="K274" s="789">
        <v>44652</v>
      </c>
      <c r="L274" s="399">
        <v>0</v>
      </c>
      <c r="M274" s="399">
        <v>0</v>
      </c>
      <c r="N274" s="399">
        <v>114.376</v>
      </c>
      <c r="O274" s="399">
        <v>114.376</v>
      </c>
      <c r="P274" s="399">
        <v>114.376</v>
      </c>
      <c r="Q274" s="399">
        <v>114.376</v>
      </c>
      <c r="R274" s="399"/>
      <c r="S274" s="399">
        <v>2184.0300000000002</v>
      </c>
      <c r="T274" s="399">
        <v>215.17</v>
      </c>
      <c r="U274" s="399"/>
      <c r="V274" s="399">
        <v>274410.89920000004</v>
      </c>
      <c r="W274" s="399">
        <v>274410.89920000004</v>
      </c>
      <c r="X274" s="399">
        <v>207065.16664000001</v>
      </c>
      <c r="Y274" s="399">
        <v>0</v>
      </c>
      <c r="Z274" s="399">
        <v>6078.5514469500495</v>
      </c>
      <c r="AA274" s="399">
        <v>0</v>
      </c>
      <c r="AB274" s="399">
        <v>0</v>
      </c>
      <c r="AC274" s="399">
        <v>0</v>
      </c>
      <c r="AD274" s="399">
        <v>75373.128185531779</v>
      </c>
      <c r="AE274" s="399">
        <v>167095.10962977525</v>
      </c>
      <c r="AF274" s="399">
        <v>24106.107373183189</v>
      </c>
      <c r="AG274" s="399">
        <v>504.05210797490764</v>
      </c>
      <c r="AH274" s="399">
        <v>0</v>
      </c>
      <c r="AI274" s="399">
        <v>0</v>
      </c>
      <c r="AJ274" s="399">
        <v>0</v>
      </c>
      <c r="AK274" s="399">
        <v>0</v>
      </c>
      <c r="AL274" s="399">
        <v>1079.6461165728754</v>
      </c>
      <c r="AM274" s="399"/>
      <c r="AN274" s="399">
        <v>78.904873772627653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95.029423044173299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24201.136796227362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207072.40819999998</v>
      </c>
      <c r="CJ274" s="399">
        <v>-67338.521000000095</v>
      </c>
      <c r="CK274" s="399"/>
      <c r="CL274" s="399"/>
      <c r="CM274" s="399"/>
      <c r="CN274" s="399"/>
      <c r="CO274" s="399">
        <v>-70454.472240000032</v>
      </c>
      <c r="CP274" s="399">
        <v>3108.739680000001</v>
      </c>
      <c r="CQ274" s="399">
        <v>30</v>
      </c>
      <c r="CR274" s="399">
        <v>5971.5098848380148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3137.1940584414551</v>
      </c>
      <c r="DA274" s="399">
        <v>0</v>
      </c>
      <c r="DB274" s="399">
        <v>0</v>
      </c>
      <c r="DC274" s="399">
        <v>3108.6807854136605</v>
      </c>
      <c r="DD274" s="399">
        <v>0</v>
      </c>
      <c r="DE274" s="399">
        <v>0</v>
      </c>
      <c r="DF274" s="399">
        <v>0</v>
      </c>
      <c r="DG274" s="399">
        <v>12.254825588100204</v>
      </c>
      <c r="DH274" s="399">
        <v>0</v>
      </c>
      <c r="DI274" s="399">
        <v>-247.14780736553257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-34.327929733394967</v>
      </c>
      <c r="DP274" s="399">
        <v>-5.1440475062914572</v>
      </c>
      <c r="DQ274" s="399">
        <v>0</v>
      </c>
      <c r="DR274" s="399">
        <v>0</v>
      </c>
      <c r="DS274" s="399"/>
      <c r="DT274" s="399"/>
      <c r="DU274" s="399"/>
      <c r="DV274" s="399">
        <v>167095.10962977525</v>
      </c>
      <c r="DW274" s="399">
        <v>0</v>
      </c>
      <c r="DX274" s="399">
        <v>0</v>
      </c>
      <c r="DY274" s="399">
        <v>-70454.472240000032</v>
      </c>
      <c r="DZ274" s="399">
        <v>3108.7396800000024</v>
      </c>
      <c r="EA274" s="399">
        <v>0</v>
      </c>
      <c r="EB274" s="399">
        <v>0</v>
      </c>
      <c r="EC274" s="399">
        <v>-73316.706639813434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216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274</v>
      </c>
      <c r="B275" s="399" t="s">
        <v>954</v>
      </c>
      <c r="C275" s="399" t="s">
        <v>2360</v>
      </c>
      <c r="D275" s="399" t="s">
        <v>533</v>
      </c>
      <c r="E275" s="399" t="s">
        <v>888</v>
      </c>
      <c r="F275" s="399" t="s">
        <v>1237</v>
      </c>
      <c r="G275" s="399" t="s">
        <v>1237</v>
      </c>
      <c r="H275" s="399" t="s">
        <v>1237</v>
      </c>
      <c r="I275" s="399" t="s">
        <v>2327</v>
      </c>
      <c r="J275" s="399" t="s">
        <v>2353</v>
      </c>
      <c r="K275" s="789">
        <v>44652</v>
      </c>
      <c r="L275" s="399">
        <v>0</v>
      </c>
      <c r="M275" s="399">
        <v>0</v>
      </c>
      <c r="N275" s="399">
        <v>2332.5039999999999</v>
      </c>
      <c r="O275" s="399">
        <v>2332.5039999999999</v>
      </c>
      <c r="P275" s="399">
        <v>2332.5039999999999</v>
      </c>
      <c r="Q275" s="399">
        <v>2332.5039999999999</v>
      </c>
      <c r="R275" s="399"/>
      <c r="S275" s="399">
        <v>64.11</v>
      </c>
      <c r="T275" s="399">
        <v>215.17</v>
      </c>
      <c r="U275" s="399"/>
      <c r="V275" s="399">
        <v>651421.71711999993</v>
      </c>
      <c r="W275" s="399">
        <v>651421.71711999993</v>
      </c>
      <c r="X275" s="399">
        <v>709221.16623999993</v>
      </c>
      <c r="Y275" s="399">
        <v>0</v>
      </c>
      <c r="Z275" s="399">
        <v>123961.71892894294</v>
      </c>
      <c r="AA275" s="399">
        <v>0</v>
      </c>
      <c r="AB275" s="399">
        <v>0</v>
      </c>
      <c r="AC275" s="399">
        <v>0</v>
      </c>
      <c r="AD275" s="399">
        <v>0</v>
      </c>
      <c r="AE275" s="399">
        <v>0</v>
      </c>
      <c r="AF275" s="399">
        <v>491603.06246397214</v>
      </c>
      <c r="AG275" s="399">
        <v>10279.285497481149</v>
      </c>
      <c r="AH275" s="399">
        <v>0</v>
      </c>
      <c r="AI275" s="399">
        <v>0</v>
      </c>
      <c r="AJ275" s="399">
        <v>0</v>
      </c>
      <c r="AK275" s="399">
        <v>0</v>
      </c>
      <c r="AL275" s="399">
        <v>22017.54638639835</v>
      </c>
      <c r="AM275" s="399"/>
      <c r="AN275" s="399">
        <v>1609.1307065656174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1937.9634658339719</v>
      </c>
      <c r="BH275" s="399">
        <v>0</v>
      </c>
      <c r="BI275" s="399">
        <v>0</v>
      </c>
      <c r="BJ275" s="399">
        <v>0</v>
      </c>
      <c r="BK275" s="399">
        <v>0</v>
      </c>
      <c r="BL275" s="399">
        <v>0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493541.02592980611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709219.95</v>
      </c>
      <c r="CJ275" s="399">
        <v>57798.202879999997</v>
      </c>
      <c r="CK275" s="399"/>
      <c r="CL275" s="399"/>
      <c r="CM275" s="399"/>
      <c r="CN275" s="399"/>
      <c r="CO275" s="399">
        <v>-5598.0095999999967</v>
      </c>
      <c r="CP275" s="399">
        <v>63397.458720000017</v>
      </c>
      <c r="CQ275" s="399">
        <v>30</v>
      </c>
      <c r="CR275" s="399">
        <v>57801.050940173096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0</v>
      </c>
      <c r="DA275" s="399">
        <v>0</v>
      </c>
      <c r="DB275" s="399">
        <v>0</v>
      </c>
      <c r="DC275" s="399">
        <v>63396.257665073965</v>
      </c>
      <c r="DD275" s="399">
        <v>0</v>
      </c>
      <c r="DE275" s="399">
        <v>0</v>
      </c>
      <c r="DF275" s="399">
        <v>0</v>
      </c>
      <c r="DG275" s="399">
        <v>249.91632600848152</v>
      </c>
      <c r="DH275" s="399">
        <v>0</v>
      </c>
      <c r="DI275" s="399">
        <v>-5040.1592053519416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-700.0597451813519</v>
      </c>
      <c r="DP275" s="399">
        <v>-104.90410037608262</v>
      </c>
      <c r="DQ275" s="399">
        <v>0</v>
      </c>
      <c r="DR275" s="399">
        <v>0</v>
      </c>
      <c r="DS275" s="399"/>
      <c r="DT275" s="399"/>
      <c r="DU275" s="399"/>
      <c r="DV275" s="399">
        <v>0</v>
      </c>
      <c r="DW275" s="399">
        <v>0</v>
      </c>
      <c r="DX275" s="399">
        <v>0</v>
      </c>
      <c r="DY275" s="399">
        <v>-5598.0095999999903</v>
      </c>
      <c r="DZ275" s="399">
        <v>63397.458719999995</v>
      </c>
      <c r="EA275" s="399">
        <v>0</v>
      </c>
      <c r="EB275" s="399">
        <v>0</v>
      </c>
      <c r="EC275" s="399">
        <v>0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216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275</v>
      </c>
      <c r="B276" s="399" t="s">
        <v>954</v>
      </c>
      <c r="C276" s="399" t="s">
        <v>2360</v>
      </c>
      <c r="D276" s="399" t="s">
        <v>533</v>
      </c>
      <c r="E276" s="399" t="s">
        <v>888</v>
      </c>
      <c r="F276" s="399" t="s">
        <v>1237</v>
      </c>
      <c r="G276" s="399" t="s">
        <v>1237</v>
      </c>
      <c r="H276" s="399" t="s">
        <v>1237</v>
      </c>
      <c r="I276" s="399" t="s">
        <v>1237</v>
      </c>
      <c r="J276" s="399" t="s">
        <v>2353</v>
      </c>
      <c r="K276" s="789">
        <v>44652</v>
      </c>
      <c r="L276" s="399">
        <v>6820</v>
      </c>
      <c r="M276" s="399">
        <v>6820</v>
      </c>
      <c r="N276" s="399">
        <v>0</v>
      </c>
      <c r="O276" s="399">
        <v>0</v>
      </c>
      <c r="P276" s="399">
        <v>0</v>
      </c>
      <c r="Q276" s="399">
        <v>0</v>
      </c>
      <c r="R276" s="399">
        <v>28.04</v>
      </c>
      <c r="S276" s="399"/>
      <c r="T276" s="399"/>
      <c r="U276" s="399">
        <v>191232.8</v>
      </c>
      <c r="V276" s="399"/>
      <c r="W276" s="399">
        <v>191232.8</v>
      </c>
      <c r="X276" s="399">
        <v>143629.19999999998</v>
      </c>
      <c r="Y276" s="399">
        <v>0</v>
      </c>
      <c r="Z276" s="399">
        <v>0</v>
      </c>
      <c r="AA276" s="399">
        <v>0</v>
      </c>
      <c r="AB276" s="399">
        <v>0</v>
      </c>
      <c r="AC276" s="399">
        <v>0</v>
      </c>
      <c r="AD276" s="399">
        <v>75502.019830519319</v>
      </c>
      <c r="AE276" s="399">
        <v>115764.72531995326</v>
      </c>
      <c r="AF276" s="399"/>
      <c r="AG276" s="399"/>
      <c r="AH276" s="399"/>
      <c r="AI276" s="399">
        <v>0</v>
      </c>
      <c r="AJ276" s="399">
        <v>0</v>
      </c>
      <c r="AK276" s="399">
        <v>0</v>
      </c>
      <c r="AL276" s="399">
        <v>0</v>
      </c>
      <c r="AM276" s="399"/>
      <c r="AN276" s="399">
        <v>0</v>
      </c>
      <c r="AO276" s="399">
        <v>0</v>
      </c>
      <c r="AP276" s="399">
        <v>0</v>
      </c>
      <c r="AQ276" s="399">
        <v>0</v>
      </c>
      <c r="AR276" s="399">
        <v>0</v>
      </c>
      <c r="AS276" s="399"/>
      <c r="AT276" s="399"/>
      <c r="AU276" s="399">
        <v>0</v>
      </c>
      <c r="AV276" s="399">
        <v>0</v>
      </c>
      <c r="AW276" s="399">
        <v>0</v>
      </c>
      <c r="AX276" s="399"/>
      <c r="AY276" s="399"/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/>
      <c r="BG276" s="399">
        <v>0</v>
      </c>
      <c r="BH276" s="399">
        <v>0</v>
      </c>
      <c r="BI276" s="399">
        <v>0</v>
      </c>
      <c r="BJ276" s="399">
        <v>0</v>
      </c>
      <c r="BK276" s="399">
        <v>384324.66</v>
      </c>
      <c r="BL276" s="399">
        <v>15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>
        <v>0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143629.19999999998</v>
      </c>
      <c r="CJ276" s="399">
        <v>-47603.630000000034</v>
      </c>
      <c r="CK276" s="399"/>
      <c r="CL276" s="399"/>
      <c r="CM276" s="399"/>
      <c r="CN276" s="399"/>
      <c r="CO276" s="399">
        <v>-47603.600000000006</v>
      </c>
      <c r="CP276" s="399">
        <v>0</v>
      </c>
      <c r="CQ276" s="399">
        <v>30</v>
      </c>
      <c r="CR276" s="399">
        <v>3142.5588099456945</v>
      </c>
      <c r="CS276" s="399">
        <v>0</v>
      </c>
      <c r="CT276" s="399">
        <v>0</v>
      </c>
      <c r="CU276" s="399">
        <v>0</v>
      </c>
      <c r="CV276" s="399">
        <v>0</v>
      </c>
      <c r="CW276" s="399"/>
      <c r="CX276" s="399"/>
      <c r="CY276" s="399"/>
      <c r="CZ276" s="399">
        <v>3142.5588099456945</v>
      </c>
      <c r="DA276" s="399">
        <v>0</v>
      </c>
      <c r="DB276" s="399">
        <v>0</v>
      </c>
      <c r="DC276" s="399"/>
      <c r="DD276" s="399"/>
      <c r="DE276" s="399">
        <v>0</v>
      </c>
      <c r="DF276" s="399">
        <v>0</v>
      </c>
      <c r="DG276" s="399">
        <v>0</v>
      </c>
      <c r="DH276" s="399">
        <v>0</v>
      </c>
      <c r="DI276" s="399">
        <v>0</v>
      </c>
      <c r="DJ276" s="399"/>
      <c r="DK276" s="399">
        <v>0</v>
      </c>
      <c r="DL276" s="399">
        <v>0</v>
      </c>
      <c r="DM276" s="399"/>
      <c r="DN276" s="399">
        <v>0</v>
      </c>
      <c r="DO276" s="399">
        <v>0</v>
      </c>
      <c r="DP276" s="399">
        <v>0</v>
      </c>
      <c r="DQ276" s="399">
        <v>0</v>
      </c>
      <c r="DR276" s="399">
        <v>0</v>
      </c>
      <c r="DS276" s="399"/>
      <c r="DT276" s="399"/>
      <c r="DU276" s="399">
        <v>115764.72531995326</v>
      </c>
      <c r="DV276" s="399"/>
      <c r="DW276" s="399">
        <v>0</v>
      </c>
      <c r="DX276" s="399">
        <v>0</v>
      </c>
      <c r="DY276" s="399">
        <v>-47603.600000000006</v>
      </c>
      <c r="DZ276" s="399"/>
      <c r="EA276" s="399">
        <v>0</v>
      </c>
      <c r="EB276" s="399"/>
      <c r="EC276" s="399">
        <v>-50794.355527980006</v>
      </c>
      <c r="ED276" s="399"/>
      <c r="EE276" s="399">
        <v>0</v>
      </c>
      <c r="EF276" s="399">
        <v>0</v>
      </c>
      <c r="EG276" s="399"/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/>
      <c r="EN276" s="399"/>
      <c r="EO276" s="399">
        <v>0</v>
      </c>
      <c r="EP276" s="399">
        <v>0</v>
      </c>
      <c r="EQ276" s="399"/>
      <c r="ER276" s="399">
        <v>0</v>
      </c>
      <c r="ES276" s="399"/>
      <c r="ET276" s="399">
        <v>0</v>
      </c>
      <c r="EU276" s="399"/>
      <c r="EV276" s="399">
        <v>216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276</v>
      </c>
      <c r="B277" s="399" t="s">
        <v>954</v>
      </c>
      <c r="C277" s="399" t="s">
        <v>2352</v>
      </c>
      <c r="D277" s="399" t="s">
        <v>1824</v>
      </c>
      <c r="E277" s="399" t="s">
        <v>916</v>
      </c>
      <c r="F277" s="399" t="s">
        <v>1237</v>
      </c>
      <c r="G277" s="399" t="s">
        <v>1237</v>
      </c>
      <c r="H277" s="399" t="s">
        <v>1237</v>
      </c>
      <c r="I277" s="399" t="s">
        <v>1237</v>
      </c>
      <c r="J277" s="399" t="s">
        <v>2353</v>
      </c>
      <c r="K277" s="789">
        <v>44652</v>
      </c>
      <c r="L277" s="399">
        <v>0</v>
      </c>
      <c r="M277" s="399">
        <v>0</v>
      </c>
      <c r="N277" s="399">
        <v>179.47399999999999</v>
      </c>
      <c r="O277" s="399">
        <v>179.47399999999999</v>
      </c>
      <c r="P277" s="399">
        <v>179.47399999999999</v>
      </c>
      <c r="Q277" s="399">
        <v>179.47399999999999</v>
      </c>
      <c r="R277" s="399"/>
      <c r="S277" s="399">
        <v>415.98</v>
      </c>
      <c r="T277" s="399">
        <v>215.17</v>
      </c>
      <c r="U277" s="399"/>
      <c r="V277" s="399">
        <v>113275.01509999999</v>
      </c>
      <c r="W277" s="399">
        <v>113275.01509999999</v>
      </c>
      <c r="X277" s="399">
        <v>98448.667959999992</v>
      </c>
      <c r="Y277" s="399">
        <v>0</v>
      </c>
      <c r="Z277" s="399">
        <v>10963.456106356154</v>
      </c>
      <c r="AA277" s="399">
        <v>0</v>
      </c>
      <c r="AB277" s="399">
        <v>0</v>
      </c>
      <c r="AC277" s="399">
        <v>0</v>
      </c>
      <c r="AD277" s="399">
        <v>16029.823939202899</v>
      </c>
      <c r="AE277" s="399">
        <v>45372.910204736188</v>
      </c>
      <c r="AF277" s="399">
        <v>37826.287986069445</v>
      </c>
      <c r="AG277" s="399">
        <v>790.93732974302793</v>
      </c>
      <c r="AH277" s="399">
        <v>0</v>
      </c>
      <c r="AI277" s="399">
        <v>0</v>
      </c>
      <c r="AJ277" s="399">
        <v>0</v>
      </c>
      <c r="AK277" s="399">
        <v>0</v>
      </c>
      <c r="AL277" s="399">
        <v>1694.1351955462703</v>
      </c>
      <c r="AM277" s="399"/>
      <c r="AN277" s="399">
        <v>211.31223511740373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386.21630021046207</v>
      </c>
      <c r="BH277" s="399">
        <v>0</v>
      </c>
      <c r="BI277" s="399">
        <v>0</v>
      </c>
      <c r="BJ277" s="399">
        <v>0</v>
      </c>
      <c r="BK277" s="399">
        <v>40610.089999999997</v>
      </c>
      <c r="BL277" s="399">
        <v>447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38212.504286279909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98446.473800000007</v>
      </c>
      <c r="CJ277" s="399">
        <v>-14828.571299999967</v>
      </c>
      <c r="CK277" s="399"/>
      <c r="CL277" s="399"/>
      <c r="CM277" s="399"/>
      <c r="CN277" s="399"/>
      <c r="CO277" s="399">
        <v>-19704.450460000004</v>
      </c>
      <c r="CP277" s="399">
        <v>4878.1033200000011</v>
      </c>
      <c r="CQ277" s="399">
        <v>30</v>
      </c>
      <c r="CR277" s="399">
        <v>5081.6077642110031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667.19624925403332</v>
      </c>
      <c r="DA277" s="399">
        <v>0</v>
      </c>
      <c r="DB277" s="399">
        <v>0</v>
      </c>
      <c r="DC277" s="399">
        <v>4878.0109050966275</v>
      </c>
      <c r="DD277" s="399">
        <v>0</v>
      </c>
      <c r="DE277" s="399">
        <v>0</v>
      </c>
      <c r="DF277" s="399">
        <v>0</v>
      </c>
      <c r="DG277" s="399">
        <v>49.805768011034104</v>
      </c>
      <c r="DH277" s="399">
        <v>0</v>
      </c>
      <c r="DI277" s="399">
        <v>-445.76313312176353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-53.865940940156406</v>
      </c>
      <c r="DP277" s="399">
        <v>-13.776084088757131</v>
      </c>
      <c r="DQ277" s="399">
        <v>0</v>
      </c>
      <c r="DR277" s="399">
        <v>0</v>
      </c>
      <c r="DS277" s="399"/>
      <c r="DT277" s="399"/>
      <c r="DU277" s="399"/>
      <c r="DV277" s="399">
        <v>45372.910204736188</v>
      </c>
      <c r="DW277" s="399">
        <v>0</v>
      </c>
      <c r="DX277" s="399">
        <v>0</v>
      </c>
      <c r="DY277" s="399">
        <v>-19704.45046</v>
      </c>
      <c r="DZ277" s="399">
        <v>4878.1033199999947</v>
      </c>
      <c r="EA277" s="399">
        <v>0</v>
      </c>
      <c r="EB277" s="399">
        <v>0</v>
      </c>
      <c r="EC277" s="399">
        <v>-19908.37645844822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216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277</v>
      </c>
      <c r="B278" s="399" t="s">
        <v>2354</v>
      </c>
      <c r="C278" s="399" t="s">
        <v>2352</v>
      </c>
      <c r="D278" s="399" t="s">
        <v>1824</v>
      </c>
      <c r="E278" s="399" t="s">
        <v>916</v>
      </c>
      <c r="F278" s="399" t="s">
        <v>1237</v>
      </c>
      <c r="G278" s="399" t="s">
        <v>1237</v>
      </c>
      <c r="H278" s="399" t="s">
        <v>1237</v>
      </c>
      <c r="I278" s="399" t="s">
        <v>1237</v>
      </c>
      <c r="J278" s="399" t="s">
        <v>2353</v>
      </c>
      <c r="K278" s="789">
        <v>44652</v>
      </c>
      <c r="L278" s="399">
        <v>0</v>
      </c>
      <c r="M278" s="399">
        <v>0</v>
      </c>
      <c r="N278" s="399">
        <v>-0.34599999999999997</v>
      </c>
      <c r="O278" s="399">
        <v>-0.34599999999999997</v>
      </c>
      <c r="P278" s="399">
        <v>-0.34599999999999997</v>
      </c>
      <c r="Q278" s="399">
        <v>-0.34599999999999997</v>
      </c>
      <c r="R278" s="399"/>
      <c r="S278" s="399">
        <v>415.98</v>
      </c>
      <c r="T278" s="399">
        <v>215.17</v>
      </c>
      <c r="U278" s="399"/>
      <c r="V278" s="399">
        <v>-218.37789999999998</v>
      </c>
      <c r="W278" s="399">
        <v>-218.37789999999998</v>
      </c>
      <c r="X278" s="399">
        <v>-189.79483999999999</v>
      </c>
      <c r="Y278" s="399">
        <v>0</v>
      </c>
      <c r="Z278" s="399">
        <v>-21.135962940588769</v>
      </c>
      <c r="AA278" s="399">
        <v>0</v>
      </c>
      <c r="AB278" s="399">
        <v>0</v>
      </c>
      <c r="AC278" s="399">
        <v>0</v>
      </c>
      <c r="AD278" s="399">
        <v>-30.903189782164564</v>
      </c>
      <c r="AE278" s="399">
        <v>-87.472430161687598</v>
      </c>
      <c r="AF278" s="399">
        <v>-72.923630404292709</v>
      </c>
      <c r="AG278" s="399">
        <v>-1.5248131545019761</v>
      </c>
      <c r="AH278" s="399">
        <v>0</v>
      </c>
      <c r="AI278" s="399">
        <v>0</v>
      </c>
      <c r="AJ278" s="399">
        <v>0</v>
      </c>
      <c r="AK278" s="399">
        <v>0</v>
      </c>
      <c r="AL278" s="399">
        <v>-3.2660484396570504</v>
      </c>
      <c r="AM278" s="399"/>
      <c r="AN278" s="399">
        <v>-0.40737952767878183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-0.74456935195526863</v>
      </c>
      <c r="BH278" s="399">
        <v>0</v>
      </c>
      <c r="BI278" s="399">
        <v>0</v>
      </c>
      <c r="BJ278" s="399">
        <v>0</v>
      </c>
      <c r="BK278" s="399">
        <v>-79.63</v>
      </c>
      <c r="BL278" s="399">
        <v>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-73.668199756247972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-191.98899999999998</v>
      </c>
      <c r="CJ278" s="399">
        <v>26.358900000000034</v>
      </c>
      <c r="CK278" s="399"/>
      <c r="CL278" s="399"/>
      <c r="CM278" s="399"/>
      <c r="CN278" s="399"/>
      <c r="CO278" s="399">
        <v>37.987340000000003</v>
      </c>
      <c r="CP278" s="399">
        <v>-9.4042800000000017</v>
      </c>
      <c r="CQ278" s="399">
        <v>30</v>
      </c>
      <c r="CR278" s="399">
        <v>-9.7966072323401079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-1.2862581891633091</v>
      </c>
      <c r="DA278" s="399">
        <v>0</v>
      </c>
      <c r="DB278" s="399">
        <v>0</v>
      </c>
      <c r="DC278" s="399">
        <v>-9.4041018373883105</v>
      </c>
      <c r="DD278" s="399">
        <v>0</v>
      </c>
      <c r="DE278" s="399">
        <v>0</v>
      </c>
      <c r="DF278" s="399">
        <v>0</v>
      </c>
      <c r="DG278" s="399">
        <v>-9.6018340995452145E-2</v>
      </c>
      <c r="DH278" s="399">
        <v>0</v>
      </c>
      <c r="DI278" s="399">
        <v>0.85936706185926681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0.10384576911025567</v>
      </c>
      <c r="DP278" s="399">
        <v>2.6558304237438102E-2</v>
      </c>
      <c r="DQ278" s="399">
        <v>0</v>
      </c>
      <c r="DR278" s="399">
        <v>0</v>
      </c>
      <c r="DS278" s="399"/>
      <c r="DT278" s="399"/>
      <c r="DU278" s="399"/>
      <c r="DV278" s="399">
        <v>-87.472430161687598</v>
      </c>
      <c r="DW278" s="399">
        <v>0</v>
      </c>
      <c r="DX278" s="399">
        <v>0</v>
      </c>
      <c r="DY278" s="399">
        <v>37.987340000000003</v>
      </c>
      <c r="DZ278" s="399">
        <v>-9.4042800000000142</v>
      </c>
      <c r="EA278" s="399">
        <v>0</v>
      </c>
      <c r="EB278" s="399">
        <v>0</v>
      </c>
      <c r="EC278" s="399">
        <v>38.380479928140467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216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278</v>
      </c>
      <c r="B279" s="399" t="s">
        <v>2355</v>
      </c>
      <c r="C279" s="399" t="s">
        <v>2352</v>
      </c>
      <c r="D279" s="399" t="s">
        <v>1824</v>
      </c>
      <c r="E279" s="399" t="s">
        <v>916</v>
      </c>
      <c r="F279" s="399" t="s">
        <v>1237</v>
      </c>
      <c r="G279" s="399" t="s">
        <v>1237</v>
      </c>
      <c r="H279" s="399" t="s">
        <v>1237</v>
      </c>
      <c r="I279" s="399" t="s">
        <v>1237</v>
      </c>
      <c r="J279" s="399" t="s">
        <v>2353</v>
      </c>
      <c r="K279" s="789">
        <v>44652</v>
      </c>
      <c r="L279" s="399">
        <v>0</v>
      </c>
      <c r="M279" s="399">
        <v>0</v>
      </c>
      <c r="N279" s="399">
        <v>2.3570000000000002</v>
      </c>
      <c r="O279" s="399">
        <v>2.3570000000000002</v>
      </c>
      <c r="P279" s="399">
        <v>2.3570000000000002</v>
      </c>
      <c r="Q279" s="399">
        <v>2.3570000000000002</v>
      </c>
      <c r="R279" s="399"/>
      <c r="S279" s="399">
        <v>415.98</v>
      </c>
      <c r="T279" s="399">
        <v>215.17</v>
      </c>
      <c r="U279" s="399"/>
      <c r="V279" s="399">
        <v>1487.6205500000001</v>
      </c>
      <c r="W279" s="399">
        <v>1487.6205500000001</v>
      </c>
      <c r="X279" s="399">
        <v>1292.9087800000002</v>
      </c>
      <c r="Y279" s="399">
        <v>0</v>
      </c>
      <c r="Z279" s="399">
        <v>143.98111170799925</v>
      </c>
      <c r="AA279" s="399">
        <v>0</v>
      </c>
      <c r="AB279" s="399">
        <v>0</v>
      </c>
      <c r="AC279" s="399">
        <v>0</v>
      </c>
      <c r="AD279" s="399">
        <v>210.51681594382049</v>
      </c>
      <c r="AE279" s="399">
        <v>595.87432916502223</v>
      </c>
      <c r="AF279" s="399">
        <v>496.76588688704607</v>
      </c>
      <c r="AG279" s="399">
        <v>10.387238743240342</v>
      </c>
      <c r="AH279" s="399">
        <v>0</v>
      </c>
      <c r="AI279" s="399">
        <v>0</v>
      </c>
      <c r="AJ279" s="399">
        <v>0</v>
      </c>
      <c r="AK279" s="399">
        <v>0</v>
      </c>
      <c r="AL279" s="399">
        <v>22.248775064368985</v>
      </c>
      <c r="AM279" s="399"/>
      <c r="AN279" s="399">
        <v>2.7751258576268465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5.0721097183773658</v>
      </c>
      <c r="BH279" s="399">
        <v>0</v>
      </c>
      <c r="BI279" s="399">
        <v>0</v>
      </c>
      <c r="BJ279" s="399">
        <v>0</v>
      </c>
      <c r="BK279" s="399">
        <v>1115.99</v>
      </c>
      <c r="BL279" s="399">
        <v>7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501.83799660542343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1294.5544</v>
      </c>
      <c r="CJ279" s="399">
        <v>-193.09615000000008</v>
      </c>
      <c r="CK279" s="399"/>
      <c r="CL279" s="399"/>
      <c r="CM279" s="399"/>
      <c r="CN279" s="399"/>
      <c r="CO279" s="399">
        <v>-258.77503000000007</v>
      </c>
      <c r="CP279" s="399">
        <v>64.063260000000028</v>
      </c>
      <c r="CQ279" s="399">
        <v>30</v>
      </c>
      <c r="CR279" s="399">
        <v>66.735847533600349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8.762169225022916</v>
      </c>
      <c r="DA279" s="399">
        <v>0</v>
      </c>
      <c r="DB279" s="399">
        <v>0</v>
      </c>
      <c r="DC279" s="399">
        <v>64.062046331573072</v>
      </c>
      <c r="DD279" s="399">
        <v>0</v>
      </c>
      <c r="DE279" s="399">
        <v>0</v>
      </c>
      <c r="DF279" s="399">
        <v>0</v>
      </c>
      <c r="DG279" s="399">
        <v>0.65409025932451126</v>
      </c>
      <c r="DH279" s="399">
        <v>0</v>
      </c>
      <c r="DI279" s="399">
        <v>-5.8541276439372609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-0.70741178552853512</v>
      </c>
      <c r="DP279" s="399">
        <v>-0.18091885285445564</v>
      </c>
      <c r="DQ279" s="399">
        <v>0</v>
      </c>
      <c r="DR279" s="399">
        <v>0</v>
      </c>
      <c r="DS279" s="399"/>
      <c r="DT279" s="399"/>
      <c r="DU279" s="399"/>
      <c r="DV279" s="399">
        <v>595.87432916502223</v>
      </c>
      <c r="DW279" s="399">
        <v>0</v>
      </c>
      <c r="DX279" s="399">
        <v>0</v>
      </c>
      <c r="DY279" s="399">
        <v>-258.77503000000013</v>
      </c>
      <c r="DZ279" s="399">
        <v>64.063260000000071</v>
      </c>
      <c r="EA279" s="399">
        <v>0</v>
      </c>
      <c r="EB279" s="399">
        <v>0</v>
      </c>
      <c r="EC279" s="399">
        <v>-261.45315373013608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216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279</v>
      </c>
      <c r="B280" s="399" t="s">
        <v>954</v>
      </c>
      <c r="C280" s="399" t="s">
        <v>2360</v>
      </c>
      <c r="D280" s="399" t="s">
        <v>533</v>
      </c>
      <c r="E280" s="399" t="s">
        <v>916</v>
      </c>
      <c r="F280" s="399" t="s">
        <v>1237</v>
      </c>
      <c r="G280" s="399" t="s">
        <v>1237</v>
      </c>
      <c r="H280" s="399" t="s">
        <v>1237</v>
      </c>
      <c r="I280" s="399" t="s">
        <v>891</v>
      </c>
      <c r="J280" s="399" t="s">
        <v>2353</v>
      </c>
      <c r="K280" s="789">
        <v>44652</v>
      </c>
      <c r="L280" s="399">
        <v>0</v>
      </c>
      <c r="M280" s="399">
        <v>0</v>
      </c>
      <c r="N280" s="399">
        <v>2.5750000000000002</v>
      </c>
      <c r="O280" s="399">
        <v>2.5750000000000002</v>
      </c>
      <c r="P280" s="399">
        <v>2.5750000000000002</v>
      </c>
      <c r="Q280" s="399">
        <v>2.5750000000000002</v>
      </c>
      <c r="R280" s="399"/>
      <c r="S280" s="399">
        <v>2184.0300000000002</v>
      </c>
      <c r="T280" s="399">
        <v>215.17</v>
      </c>
      <c r="U280" s="399"/>
      <c r="V280" s="399">
        <v>6177.9400000000005</v>
      </c>
      <c r="W280" s="399">
        <v>6177.9400000000005</v>
      </c>
      <c r="X280" s="399">
        <v>4661.75425</v>
      </c>
      <c r="Y280" s="399">
        <v>0</v>
      </c>
      <c r="Z280" s="399">
        <v>136.84925138050272</v>
      </c>
      <c r="AA280" s="399">
        <v>0</v>
      </c>
      <c r="AB280" s="399">
        <v>0</v>
      </c>
      <c r="AC280" s="399">
        <v>0</v>
      </c>
      <c r="AD280" s="399">
        <v>1696.9102353443409</v>
      </c>
      <c r="AE280" s="399">
        <v>3761.8897959071073</v>
      </c>
      <c r="AF280" s="399">
        <v>542.71198928050217</v>
      </c>
      <c r="AG280" s="399">
        <v>11.347959170065288</v>
      </c>
      <c r="AH280" s="399">
        <v>0</v>
      </c>
      <c r="AI280" s="399">
        <v>0</v>
      </c>
      <c r="AJ280" s="399">
        <v>0</v>
      </c>
      <c r="AK280" s="399">
        <v>0</v>
      </c>
      <c r="AL280" s="399">
        <v>24.306574370280075</v>
      </c>
      <c r="AM280" s="399"/>
      <c r="AN280" s="399">
        <v>1.776422063759147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2.1394415291559965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544.85143080965815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4670.8062</v>
      </c>
      <c r="CJ280" s="399">
        <v>-1507.1638000000012</v>
      </c>
      <c r="CK280" s="399"/>
      <c r="CL280" s="399"/>
      <c r="CM280" s="399"/>
      <c r="CN280" s="399"/>
      <c r="CO280" s="399">
        <v>-1586.1742500000007</v>
      </c>
      <c r="CP280" s="399">
        <v>69.988500000000016</v>
      </c>
      <c r="CQ280" s="399">
        <v>30</v>
      </c>
      <c r="CR280" s="399">
        <v>134.43937498651712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70.629106635017479</v>
      </c>
      <c r="DA280" s="399">
        <v>0</v>
      </c>
      <c r="DB280" s="399">
        <v>0</v>
      </c>
      <c r="DC280" s="399">
        <v>69.987174078829185</v>
      </c>
      <c r="DD280" s="399">
        <v>0</v>
      </c>
      <c r="DE280" s="399">
        <v>0</v>
      </c>
      <c r="DF280" s="399">
        <v>0</v>
      </c>
      <c r="DG280" s="399">
        <v>0.27589857915435045</v>
      </c>
      <c r="DH280" s="399">
        <v>0</v>
      </c>
      <c r="DI280" s="399">
        <v>-5.5641533535553549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-0.77284062271360909</v>
      </c>
      <c r="DP280" s="399">
        <v>-0.11581033021525911</v>
      </c>
      <c r="DQ280" s="399">
        <v>0</v>
      </c>
      <c r="DR280" s="399">
        <v>0</v>
      </c>
      <c r="DS280" s="399"/>
      <c r="DT280" s="399"/>
      <c r="DU280" s="399"/>
      <c r="DV280" s="399">
        <v>3761.8897959071073</v>
      </c>
      <c r="DW280" s="399">
        <v>0</v>
      </c>
      <c r="DX280" s="399">
        <v>0</v>
      </c>
      <c r="DY280" s="399">
        <v>-1586.1742500000005</v>
      </c>
      <c r="DZ280" s="399">
        <v>69.988499999999931</v>
      </c>
      <c r="EA280" s="399">
        <v>0</v>
      </c>
      <c r="EB280" s="399">
        <v>0</v>
      </c>
      <c r="EC280" s="399">
        <v>-1650.613062159191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216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280</v>
      </c>
      <c r="B281" s="399" t="s">
        <v>954</v>
      </c>
      <c r="C281" s="399" t="s">
        <v>2360</v>
      </c>
      <c r="D281" s="399" t="s">
        <v>533</v>
      </c>
      <c r="E281" s="399" t="s">
        <v>916</v>
      </c>
      <c r="F281" s="399" t="s">
        <v>1237</v>
      </c>
      <c r="G281" s="399" t="s">
        <v>1237</v>
      </c>
      <c r="H281" s="399" t="s">
        <v>1237</v>
      </c>
      <c r="I281" s="399" t="s">
        <v>2327</v>
      </c>
      <c r="J281" s="399" t="s">
        <v>2353</v>
      </c>
      <c r="K281" s="789">
        <v>44652</v>
      </c>
      <c r="L281" s="399">
        <v>0</v>
      </c>
      <c r="M281" s="399">
        <v>0</v>
      </c>
      <c r="N281" s="399">
        <v>29.888000000000002</v>
      </c>
      <c r="O281" s="399">
        <v>29.888000000000002</v>
      </c>
      <c r="P281" s="399">
        <v>29.888000000000002</v>
      </c>
      <c r="Q281" s="399">
        <v>29.888000000000002</v>
      </c>
      <c r="R281" s="399"/>
      <c r="S281" s="399">
        <v>64.11</v>
      </c>
      <c r="T281" s="399">
        <v>215.17</v>
      </c>
      <c r="U281" s="399"/>
      <c r="V281" s="399">
        <v>8347.120640000001</v>
      </c>
      <c r="W281" s="399">
        <v>8347.120640000001</v>
      </c>
      <c r="X281" s="399">
        <v>9087.745280000001</v>
      </c>
      <c r="Y281" s="399">
        <v>0</v>
      </c>
      <c r="Z281" s="399">
        <v>1588.4079321399865</v>
      </c>
      <c r="AA281" s="399">
        <v>0</v>
      </c>
      <c r="AB281" s="399">
        <v>0</v>
      </c>
      <c r="AC281" s="399">
        <v>0</v>
      </c>
      <c r="AD281" s="399">
        <v>0</v>
      </c>
      <c r="AE281" s="399">
        <v>0</v>
      </c>
      <c r="AF281" s="399">
        <v>6299.2527905303486</v>
      </c>
      <c r="AG281" s="399">
        <v>131.71565191258691</v>
      </c>
      <c r="AH281" s="399">
        <v>0</v>
      </c>
      <c r="AI281" s="399">
        <v>0</v>
      </c>
      <c r="AJ281" s="399">
        <v>0</v>
      </c>
      <c r="AK281" s="399">
        <v>0</v>
      </c>
      <c r="AL281" s="399">
        <v>282.12617272968191</v>
      </c>
      <c r="AM281" s="399"/>
      <c r="AN281" s="399">
        <v>20.618913647236266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24.832477057636666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6324.0852675879851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9088.3534</v>
      </c>
      <c r="CJ281" s="399">
        <v>741.20276000000013</v>
      </c>
      <c r="CK281" s="399"/>
      <c r="CL281" s="399"/>
      <c r="CM281" s="399"/>
      <c r="CN281" s="399"/>
      <c r="CO281" s="399">
        <v>-71.731199999999959</v>
      </c>
      <c r="CP281" s="399">
        <v>812.35584000000028</v>
      </c>
      <c r="CQ281" s="399">
        <v>30</v>
      </c>
      <c r="CR281" s="399">
        <v>740.64516523868588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0</v>
      </c>
      <c r="DA281" s="399">
        <v>0</v>
      </c>
      <c r="DB281" s="399">
        <v>0</v>
      </c>
      <c r="DC281" s="399">
        <v>812.34045004584459</v>
      </c>
      <c r="DD281" s="399">
        <v>0</v>
      </c>
      <c r="DE281" s="399">
        <v>0</v>
      </c>
      <c r="DF281" s="399">
        <v>0</v>
      </c>
      <c r="DG281" s="399">
        <v>3.2023521296175694</v>
      </c>
      <c r="DH281" s="399">
        <v>0</v>
      </c>
      <c r="DI281" s="399">
        <v>-64.583073953810526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-8.970353604529862</v>
      </c>
      <c r="DP281" s="399">
        <v>-1.3442093784363749</v>
      </c>
      <c r="DQ281" s="399">
        <v>0</v>
      </c>
      <c r="DR281" s="399">
        <v>0</v>
      </c>
      <c r="DS281" s="399"/>
      <c r="DT281" s="399"/>
      <c r="DU281" s="399"/>
      <c r="DV281" s="399">
        <v>0</v>
      </c>
      <c r="DW281" s="399">
        <v>0</v>
      </c>
      <c r="DX281" s="399">
        <v>0</v>
      </c>
      <c r="DY281" s="399">
        <v>-71.731199999999944</v>
      </c>
      <c r="DZ281" s="399">
        <v>812.35584000000017</v>
      </c>
      <c r="EA281" s="399">
        <v>0</v>
      </c>
      <c r="EB281" s="399">
        <v>0</v>
      </c>
      <c r="EC281" s="399">
        <v>0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216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281</v>
      </c>
      <c r="B282" s="399" t="s">
        <v>954</v>
      </c>
      <c r="C282" s="399" t="s">
        <v>2360</v>
      </c>
      <c r="D282" s="399" t="s">
        <v>533</v>
      </c>
      <c r="E282" s="399" t="s">
        <v>916</v>
      </c>
      <c r="F282" s="399" t="s">
        <v>1237</v>
      </c>
      <c r="G282" s="399" t="s">
        <v>1237</v>
      </c>
      <c r="H282" s="399" t="s">
        <v>1237</v>
      </c>
      <c r="I282" s="399" t="s">
        <v>1237</v>
      </c>
      <c r="J282" s="399" t="s">
        <v>2353</v>
      </c>
      <c r="K282" s="789">
        <v>44652</v>
      </c>
      <c r="L282" s="399">
        <v>110</v>
      </c>
      <c r="M282" s="399">
        <v>110</v>
      </c>
      <c r="N282" s="399">
        <v>0</v>
      </c>
      <c r="O282" s="399">
        <v>0</v>
      </c>
      <c r="P282" s="399">
        <v>0</v>
      </c>
      <c r="Q282" s="399">
        <v>0</v>
      </c>
      <c r="R282" s="399">
        <v>28.04</v>
      </c>
      <c r="S282" s="399"/>
      <c r="T282" s="399"/>
      <c r="U282" s="399">
        <v>3084.4</v>
      </c>
      <c r="V282" s="399"/>
      <c r="W282" s="399">
        <v>3084.4</v>
      </c>
      <c r="X282" s="399">
        <v>2316.6</v>
      </c>
      <c r="Y282" s="399">
        <v>0</v>
      </c>
      <c r="Z282" s="399">
        <v>0</v>
      </c>
      <c r="AA282" s="399">
        <v>0</v>
      </c>
      <c r="AB282" s="399">
        <v>0</v>
      </c>
      <c r="AC282" s="399">
        <v>0</v>
      </c>
      <c r="AD282" s="399">
        <v>1217.7745133954729</v>
      </c>
      <c r="AE282" s="399">
        <v>1867.1729890315041</v>
      </c>
      <c r="AF282" s="399"/>
      <c r="AG282" s="399"/>
      <c r="AH282" s="399"/>
      <c r="AI282" s="399">
        <v>0</v>
      </c>
      <c r="AJ282" s="399">
        <v>0</v>
      </c>
      <c r="AK282" s="399">
        <v>0</v>
      </c>
      <c r="AL282" s="399">
        <v>0</v>
      </c>
      <c r="AM282" s="399"/>
      <c r="AN282" s="399">
        <v>0</v>
      </c>
      <c r="AO282" s="399">
        <v>0</v>
      </c>
      <c r="AP282" s="399">
        <v>0</v>
      </c>
      <c r="AQ282" s="399">
        <v>0</v>
      </c>
      <c r="AR282" s="399">
        <v>0</v>
      </c>
      <c r="AS282" s="399"/>
      <c r="AT282" s="399"/>
      <c r="AU282" s="399">
        <v>0</v>
      </c>
      <c r="AV282" s="399">
        <v>0</v>
      </c>
      <c r="AW282" s="399">
        <v>0</v>
      </c>
      <c r="AX282" s="399"/>
      <c r="AY282" s="399"/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/>
      <c r="BG282" s="399">
        <v>0</v>
      </c>
      <c r="BH282" s="399">
        <v>0</v>
      </c>
      <c r="BI282" s="399">
        <v>0</v>
      </c>
      <c r="BJ282" s="399">
        <v>0</v>
      </c>
      <c r="BK282" s="399">
        <v>5486.59</v>
      </c>
      <c r="BL282" s="399">
        <v>1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0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2316.6</v>
      </c>
      <c r="CJ282" s="399">
        <v>-767.83000000000084</v>
      </c>
      <c r="CK282" s="399"/>
      <c r="CL282" s="399"/>
      <c r="CM282" s="399"/>
      <c r="CN282" s="399"/>
      <c r="CO282" s="399">
        <v>-767.80000000000007</v>
      </c>
      <c r="CP282" s="399">
        <v>0</v>
      </c>
      <c r="CQ282" s="399">
        <v>30</v>
      </c>
      <c r="CR282" s="399">
        <v>50.686432418478944</v>
      </c>
      <c r="CS282" s="399">
        <v>0</v>
      </c>
      <c r="CT282" s="399">
        <v>0</v>
      </c>
      <c r="CU282" s="399">
        <v>0</v>
      </c>
      <c r="CV282" s="399">
        <v>0</v>
      </c>
      <c r="CW282" s="399"/>
      <c r="CX282" s="399"/>
      <c r="CY282" s="399"/>
      <c r="CZ282" s="399">
        <v>50.686432418478944</v>
      </c>
      <c r="DA282" s="399">
        <v>0</v>
      </c>
      <c r="DB282" s="399">
        <v>0</v>
      </c>
      <c r="DC282" s="399"/>
      <c r="DD282" s="399"/>
      <c r="DE282" s="399">
        <v>0</v>
      </c>
      <c r="DF282" s="399">
        <v>0</v>
      </c>
      <c r="DG282" s="399">
        <v>0</v>
      </c>
      <c r="DH282" s="399">
        <v>0</v>
      </c>
      <c r="DI282" s="399">
        <v>0</v>
      </c>
      <c r="DJ282" s="399"/>
      <c r="DK282" s="399">
        <v>0</v>
      </c>
      <c r="DL282" s="399">
        <v>0</v>
      </c>
      <c r="DM282" s="399"/>
      <c r="DN282" s="399">
        <v>0</v>
      </c>
      <c r="DO282" s="399">
        <v>0</v>
      </c>
      <c r="DP282" s="399">
        <v>0</v>
      </c>
      <c r="DQ282" s="399">
        <v>0</v>
      </c>
      <c r="DR282" s="399">
        <v>0</v>
      </c>
      <c r="DS282" s="399"/>
      <c r="DT282" s="399"/>
      <c r="DU282" s="399">
        <v>1867.1729890315041</v>
      </c>
      <c r="DV282" s="399"/>
      <c r="DW282" s="399">
        <v>0</v>
      </c>
      <c r="DX282" s="399">
        <v>0</v>
      </c>
      <c r="DY282" s="399">
        <v>-767.80000000000018</v>
      </c>
      <c r="DZ282" s="399"/>
      <c r="EA282" s="399">
        <v>0</v>
      </c>
      <c r="EB282" s="399"/>
      <c r="EC282" s="399">
        <v>-819.26379883838717</v>
      </c>
      <c r="ED282" s="399"/>
      <c r="EE282" s="399">
        <v>0</v>
      </c>
      <c r="EF282" s="399">
        <v>0</v>
      </c>
      <c r="EG282" s="399"/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/>
      <c r="EN282" s="399"/>
      <c r="EO282" s="399">
        <v>0</v>
      </c>
      <c r="EP282" s="399">
        <v>0</v>
      </c>
      <c r="EQ282" s="399"/>
      <c r="ER282" s="399">
        <v>0</v>
      </c>
      <c r="ES282" s="399"/>
      <c r="ET282" s="399">
        <v>0</v>
      </c>
      <c r="EU282" s="399"/>
      <c r="EV282" s="399">
        <v>216</v>
      </c>
      <c r="EW282" s="399"/>
      <c r="EX282" s="399"/>
      <c r="EY282" s="399"/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282</v>
      </c>
      <c r="B283" s="399" t="s">
        <v>954</v>
      </c>
      <c r="C283" s="399" t="s">
        <v>2361</v>
      </c>
      <c r="D283" s="399" t="s">
        <v>1824</v>
      </c>
      <c r="E283" s="399" t="s">
        <v>916</v>
      </c>
      <c r="F283" s="399" t="s">
        <v>1237</v>
      </c>
      <c r="G283" s="399" t="s">
        <v>1237</v>
      </c>
      <c r="H283" s="399" t="s">
        <v>1237</v>
      </c>
      <c r="I283" s="399" t="s">
        <v>891</v>
      </c>
      <c r="J283" s="399" t="s">
        <v>2353</v>
      </c>
      <c r="K283" s="789">
        <v>44652</v>
      </c>
      <c r="L283" s="399">
        <v>0</v>
      </c>
      <c r="M283" s="399">
        <v>0</v>
      </c>
      <c r="N283" s="399">
        <v>8.6999999999999994E-2</v>
      </c>
      <c r="O283" s="399">
        <v>8.6999999999999994E-2</v>
      </c>
      <c r="P283" s="399">
        <v>8.6999999999999994E-2</v>
      </c>
      <c r="Q283" s="399">
        <v>8.6999999999999994E-2</v>
      </c>
      <c r="R283" s="399"/>
      <c r="S283" s="399">
        <v>1254.27</v>
      </c>
      <c r="T283" s="399">
        <v>215.17</v>
      </c>
      <c r="U283" s="399"/>
      <c r="V283" s="399">
        <v>127.84127999999998</v>
      </c>
      <c r="W283" s="399">
        <v>127.84127999999998</v>
      </c>
      <c r="X283" s="399">
        <v>97.802789999999987</v>
      </c>
      <c r="Y283" s="399">
        <v>0</v>
      </c>
      <c r="Z283" s="399">
        <v>5.3145340341942866</v>
      </c>
      <c r="AA283" s="399">
        <v>0</v>
      </c>
      <c r="AB283" s="399">
        <v>0</v>
      </c>
      <c r="AC283" s="399">
        <v>0</v>
      </c>
      <c r="AD283" s="399">
        <v>26.814774457519924</v>
      </c>
      <c r="AE283" s="399">
        <v>75.881046811819118</v>
      </c>
      <c r="AF283" s="399">
        <v>18.336288569865506</v>
      </c>
      <c r="AG283" s="399">
        <v>0.38340677584298244</v>
      </c>
      <c r="AH283" s="399">
        <v>0</v>
      </c>
      <c r="AI283" s="399">
        <v>0</v>
      </c>
      <c r="AJ283" s="399">
        <v>0</v>
      </c>
      <c r="AK283" s="399">
        <v>0</v>
      </c>
      <c r="AL283" s="399">
        <v>0.82123183309295777</v>
      </c>
      <c r="AM283" s="399"/>
      <c r="AN283" s="399">
        <v>0.10243358065911566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0.18721830526042882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18.523506875125936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101.17529999999999</v>
      </c>
      <c r="CJ283" s="399">
        <v>-26.695980000000006</v>
      </c>
      <c r="CK283" s="399"/>
      <c r="CL283" s="399"/>
      <c r="CM283" s="399"/>
      <c r="CN283" s="399"/>
      <c r="CO283" s="399">
        <v>-32.403149999999989</v>
      </c>
      <c r="CP283" s="399">
        <v>2.3646600000000007</v>
      </c>
      <c r="CQ283" s="399">
        <v>30</v>
      </c>
      <c r="CR283" s="399">
        <v>3.2559748755262348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1.1160894224731059</v>
      </c>
      <c r="DA283" s="399">
        <v>0</v>
      </c>
      <c r="DB283" s="399">
        <v>0</v>
      </c>
      <c r="DC283" s="399">
        <v>2.3646152018866609</v>
      </c>
      <c r="DD283" s="399">
        <v>0</v>
      </c>
      <c r="DE283" s="399">
        <v>0</v>
      </c>
      <c r="DF283" s="399">
        <v>0</v>
      </c>
      <c r="DG283" s="399">
        <v>2.4143340076891145E-2</v>
      </c>
      <c r="DH283" s="399">
        <v>0</v>
      </c>
      <c r="DI283" s="399">
        <v>-0.21608362538079895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-2.6111508417896667E-2</v>
      </c>
      <c r="DP283" s="399">
        <v>-6.6779551117257668E-3</v>
      </c>
      <c r="DQ283" s="399">
        <v>0</v>
      </c>
      <c r="DR283" s="399">
        <v>0</v>
      </c>
      <c r="DS283" s="399"/>
      <c r="DT283" s="399"/>
      <c r="DU283" s="399"/>
      <c r="DV283" s="399">
        <v>75.881046811819118</v>
      </c>
      <c r="DW283" s="399">
        <v>0</v>
      </c>
      <c r="DX283" s="399">
        <v>0</v>
      </c>
      <c r="DY283" s="399">
        <v>-32.403149999999997</v>
      </c>
      <c r="DZ283" s="399">
        <v>2.3646600000000007</v>
      </c>
      <c r="EA283" s="399">
        <v>0</v>
      </c>
      <c r="EB283" s="399">
        <v>0</v>
      </c>
      <c r="EC283" s="399">
        <v>-33.294501921393994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216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283</v>
      </c>
      <c r="B284" s="399" t="s">
        <v>954</v>
      </c>
      <c r="C284" s="399" t="s">
        <v>2361</v>
      </c>
      <c r="D284" s="399" t="s">
        <v>1824</v>
      </c>
      <c r="E284" s="399" t="s">
        <v>916</v>
      </c>
      <c r="F284" s="399" t="s">
        <v>1237</v>
      </c>
      <c r="G284" s="399" t="s">
        <v>1237</v>
      </c>
      <c r="H284" s="399" t="s">
        <v>1237</v>
      </c>
      <c r="I284" s="399" t="s">
        <v>2327</v>
      </c>
      <c r="J284" s="399" t="s">
        <v>2353</v>
      </c>
      <c r="K284" s="789">
        <v>44652</v>
      </c>
      <c r="L284" s="399">
        <v>0</v>
      </c>
      <c r="M284" s="399">
        <v>0</v>
      </c>
      <c r="N284" s="399">
        <v>0.91200000000000003</v>
      </c>
      <c r="O284" s="399">
        <v>0.91200000000000003</v>
      </c>
      <c r="P284" s="399">
        <v>0.91200000000000003</v>
      </c>
      <c r="Q284" s="399">
        <v>0.91200000000000003</v>
      </c>
      <c r="R284" s="399"/>
      <c r="S284" s="399">
        <v>309.91000000000003</v>
      </c>
      <c r="T284" s="399">
        <v>215.17</v>
      </c>
      <c r="U284" s="399"/>
      <c r="V284" s="399">
        <v>478.87296000000003</v>
      </c>
      <c r="W284" s="399">
        <v>478.87296000000003</v>
      </c>
      <c r="X284" s="399">
        <v>433.83839999999998</v>
      </c>
      <c r="Y284" s="399">
        <v>0</v>
      </c>
      <c r="Z284" s="399">
        <v>55.710977461898729</v>
      </c>
      <c r="AA284" s="399">
        <v>0</v>
      </c>
      <c r="AB284" s="399">
        <v>0</v>
      </c>
      <c r="AC284" s="399">
        <v>0</v>
      </c>
      <c r="AD284" s="399">
        <v>56.19440340927892</v>
      </c>
      <c r="AE284" s="399">
        <v>159.08869034584094</v>
      </c>
      <c r="AF284" s="399">
        <v>192.21488707721085</v>
      </c>
      <c r="AG284" s="399">
        <v>4.0191606846988508</v>
      </c>
      <c r="AH284" s="399">
        <v>0</v>
      </c>
      <c r="AI284" s="399">
        <v>0</v>
      </c>
      <c r="AJ284" s="399">
        <v>0</v>
      </c>
      <c r="AK284" s="399">
        <v>0</v>
      </c>
      <c r="AL284" s="399">
        <v>8.6087750779399723</v>
      </c>
      <c r="AM284" s="399"/>
      <c r="AN284" s="399">
        <v>1.0737865007024541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1.9625643034196678</v>
      </c>
      <c r="BH284" s="399">
        <v>0</v>
      </c>
      <c r="BI284" s="399">
        <v>0</v>
      </c>
      <c r="BJ284" s="399">
        <v>0</v>
      </c>
      <c r="BK284" s="399">
        <v>0</v>
      </c>
      <c r="BL284" s="399">
        <v>0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194.17745138063052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432.887</v>
      </c>
      <c r="CJ284" s="399">
        <v>-46.015960000000007</v>
      </c>
      <c r="CK284" s="399"/>
      <c r="CL284" s="399"/>
      <c r="CM284" s="399"/>
      <c r="CN284" s="399"/>
      <c r="CO284" s="399">
        <v>-69.822720000000032</v>
      </c>
      <c r="CP284" s="399">
        <v>24.788160000000008</v>
      </c>
      <c r="CQ284" s="399">
        <v>30</v>
      </c>
      <c r="CR284" s="399">
        <v>24.770836365762591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2.3389336854814999</v>
      </c>
      <c r="DA284" s="399">
        <v>0</v>
      </c>
      <c r="DB284" s="399">
        <v>0</v>
      </c>
      <c r="DC284" s="399">
        <v>24.787690392191166</v>
      </c>
      <c r="DD284" s="399">
        <v>0</v>
      </c>
      <c r="DE284" s="399">
        <v>0</v>
      </c>
      <c r="DF284" s="399">
        <v>0</v>
      </c>
      <c r="DG284" s="399">
        <v>0.2530888063232728</v>
      </c>
      <c r="DH284" s="399">
        <v>0</v>
      </c>
      <c r="DI284" s="399">
        <v>-2.2651524867504378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-0.27372063996691764</v>
      </c>
      <c r="DP284" s="399">
        <v>-7.0003391516022084E-2</v>
      </c>
      <c r="DQ284" s="399">
        <v>0</v>
      </c>
      <c r="DR284" s="399">
        <v>0</v>
      </c>
      <c r="DS284" s="399"/>
      <c r="DT284" s="399"/>
      <c r="DU284" s="399"/>
      <c r="DV284" s="399">
        <v>159.08869034584094</v>
      </c>
      <c r="DW284" s="399">
        <v>0</v>
      </c>
      <c r="DX284" s="399">
        <v>0</v>
      </c>
      <c r="DY284" s="399">
        <v>-69.822720000000004</v>
      </c>
      <c r="DZ284" s="399">
        <v>24.788160000000005</v>
      </c>
      <c r="EA284" s="399">
        <v>0</v>
      </c>
      <c r="EB284" s="399">
        <v>0</v>
      </c>
      <c r="EC284" s="399">
        <v>-69.803711584625091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216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284</v>
      </c>
      <c r="B285" s="399" t="s">
        <v>954</v>
      </c>
      <c r="C285" s="399" t="s">
        <v>2361</v>
      </c>
      <c r="D285" s="399" t="s">
        <v>1824</v>
      </c>
      <c r="E285" s="399" t="s">
        <v>916</v>
      </c>
      <c r="F285" s="399" t="s">
        <v>1237</v>
      </c>
      <c r="G285" s="399" t="s">
        <v>1237</v>
      </c>
      <c r="H285" s="399" t="s">
        <v>1237</v>
      </c>
      <c r="I285" s="399" t="s">
        <v>1237</v>
      </c>
      <c r="J285" s="399" t="s">
        <v>2353</v>
      </c>
      <c r="K285" s="789">
        <v>44652</v>
      </c>
      <c r="L285" s="399">
        <v>0</v>
      </c>
      <c r="M285" s="399">
        <v>0</v>
      </c>
      <c r="N285" s="399">
        <v>0</v>
      </c>
      <c r="O285" s="399">
        <v>0</v>
      </c>
      <c r="P285" s="399">
        <v>0</v>
      </c>
      <c r="Q285" s="399">
        <v>0</v>
      </c>
      <c r="R285" s="399"/>
      <c r="S285" s="399"/>
      <c r="T285" s="399"/>
      <c r="U285" s="399"/>
      <c r="V285" s="399"/>
      <c r="W285" s="399"/>
      <c r="X285" s="399"/>
      <c r="Y285" s="399"/>
      <c r="Z285" s="399"/>
      <c r="AA285" s="399">
        <v>0</v>
      </c>
      <c r="AB285" s="399"/>
      <c r="AC285" s="399"/>
      <c r="AD285" s="399"/>
      <c r="AE285" s="399"/>
      <c r="AF285" s="399"/>
      <c r="AG285" s="399"/>
      <c r="AH285" s="399"/>
      <c r="AI285" s="399"/>
      <c r="AJ285" s="399"/>
      <c r="AK285" s="399"/>
      <c r="AL285" s="399"/>
      <c r="AM285" s="399"/>
      <c r="AN285" s="399"/>
      <c r="AO285" s="399"/>
      <c r="AP285" s="399"/>
      <c r="AQ285" s="399"/>
      <c r="AR285" s="399"/>
      <c r="AS285" s="399"/>
      <c r="AT285" s="399"/>
      <c r="AU285" s="399"/>
      <c r="AV285" s="399"/>
      <c r="AW285" s="399"/>
      <c r="AX285" s="399"/>
      <c r="AY285" s="399"/>
      <c r="AZ285" s="399">
        <v>0</v>
      </c>
      <c r="BA285" s="399"/>
      <c r="BB285" s="399"/>
      <c r="BC285" s="399"/>
      <c r="BD285" s="399"/>
      <c r="BE285" s="399"/>
      <c r="BF285" s="399"/>
      <c r="BG285" s="399"/>
      <c r="BH285" s="399"/>
      <c r="BI285" s="399">
        <v>0</v>
      </c>
      <c r="BJ285" s="399">
        <v>0</v>
      </c>
      <c r="BK285" s="399">
        <v>242.38</v>
      </c>
      <c r="BL285" s="399">
        <v>1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/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/>
      <c r="CJ285" s="399">
        <v>-0.03</v>
      </c>
      <c r="CK285" s="399"/>
      <c r="CL285" s="399"/>
      <c r="CM285" s="399"/>
      <c r="CN285" s="399"/>
      <c r="CO285" s="399">
        <v>0</v>
      </c>
      <c r="CP285" s="399">
        <v>0</v>
      </c>
      <c r="CQ285" s="399">
        <v>30</v>
      </c>
      <c r="CR285" s="399"/>
      <c r="CS285" s="399"/>
      <c r="CT285" s="399"/>
      <c r="CU285" s="399"/>
      <c r="CV285" s="399"/>
      <c r="CW285" s="399"/>
      <c r="CX285" s="399"/>
      <c r="CY285" s="399"/>
      <c r="CZ285" s="399"/>
      <c r="DA285" s="399"/>
      <c r="DB285" s="399"/>
      <c r="DC285" s="399"/>
      <c r="DD285" s="399"/>
      <c r="DE285" s="399"/>
      <c r="DF285" s="399"/>
      <c r="DG285" s="399"/>
      <c r="DH285" s="399"/>
      <c r="DI285" s="399"/>
      <c r="DJ285" s="399"/>
      <c r="DK285" s="399">
        <v>0</v>
      </c>
      <c r="DL285" s="399"/>
      <c r="DM285" s="399"/>
      <c r="DN285" s="399"/>
      <c r="DO285" s="399"/>
      <c r="DP285" s="399"/>
      <c r="DQ285" s="399"/>
      <c r="DR285" s="399"/>
      <c r="DS285" s="399"/>
      <c r="DT285" s="399"/>
      <c r="DU285" s="399"/>
      <c r="DV285" s="399"/>
      <c r="DW285" s="399"/>
      <c r="DX285" s="399"/>
      <c r="DY285" s="399"/>
      <c r="DZ285" s="399"/>
      <c r="EA285" s="399"/>
      <c r="EB285" s="399"/>
      <c r="EC285" s="399"/>
      <c r="ED285" s="399"/>
      <c r="EE285" s="399"/>
      <c r="EF285" s="399"/>
      <c r="EG285" s="399"/>
      <c r="EH285" s="399"/>
      <c r="EI285" s="399"/>
      <c r="EJ285" s="399"/>
      <c r="EK285" s="399"/>
      <c r="EL285" s="399"/>
      <c r="EM285" s="399"/>
      <c r="EN285" s="399"/>
      <c r="EO285" s="399"/>
      <c r="EP285" s="399"/>
      <c r="EQ285" s="399"/>
      <c r="ER285" s="399"/>
      <c r="ES285" s="399"/>
      <c r="ET285" s="399"/>
      <c r="EU285" s="399"/>
      <c r="EV285" s="399">
        <v>216</v>
      </c>
      <c r="EW285" s="399"/>
      <c r="EX285" s="399"/>
      <c r="EY285" s="399"/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285</v>
      </c>
      <c r="B286" s="399" t="s">
        <v>954</v>
      </c>
      <c r="C286" s="399" t="s">
        <v>2361</v>
      </c>
      <c r="D286" s="399" t="s">
        <v>1824</v>
      </c>
      <c r="E286" s="399" t="s">
        <v>916</v>
      </c>
      <c r="F286" s="399" t="s">
        <v>1237</v>
      </c>
      <c r="G286" s="399" t="s">
        <v>1237</v>
      </c>
      <c r="H286" s="399" t="s">
        <v>1237</v>
      </c>
      <c r="I286" s="399" t="s">
        <v>2362</v>
      </c>
      <c r="J286" s="399" t="s">
        <v>2353</v>
      </c>
      <c r="K286" s="789">
        <v>44652</v>
      </c>
      <c r="L286" s="399">
        <v>0</v>
      </c>
      <c r="M286" s="399">
        <v>0</v>
      </c>
      <c r="N286" s="399">
        <v>5.7000000000000002E-2</v>
      </c>
      <c r="O286" s="399">
        <v>5.7000000000000002E-2</v>
      </c>
      <c r="P286" s="399">
        <v>5.7000000000000002E-2</v>
      </c>
      <c r="Q286" s="399">
        <v>5.7000000000000002E-2</v>
      </c>
      <c r="R286" s="399"/>
      <c r="S286" s="399">
        <v>782.07</v>
      </c>
      <c r="T286" s="399">
        <v>215.17</v>
      </c>
      <c r="U286" s="399"/>
      <c r="V286" s="399">
        <v>56.842680000000009</v>
      </c>
      <c r="W286" s="399">
        <v>56.842680000000009</v>
      </c>
      <c r="X286" s="399">
        <v>45.59487</v>
      </c>
      <c r="Y286" s="399">
        <v>0</v>
      </c>
      <c r="Z286" s="399">
        <v>3.4819360913686705</v>
      </c>
      <c r="AA286" s="399">
        <v>0</v>
      </c>
      <c r="AB286" s="399">
        <v>0</v>
      </c>
      <c r="AC286" s="399">
        <v>0</v>
      </c>
      <c r="AD286" s="399">
        <v>10.538967119656917</v>
      </c>
      <c r="AE286" s="399">
        <v>29.829096447285412</v>
      </c>
      <c r="AF286" s="399">
        <v>12.013430442325678</v>
      </c>
      <c r="AG286" s="399">
        <v>0.25119754279367817</v>
      </c>
      <c r="AH286" s="399">
        <v>0</v>
      </c>
      <c r="AI286" s="399">
        <v>0</v>
      </c>
      <c r="AJ286" s="399">
        <v>0</v>
      </c>
      <c r="AK286" s="399">
        <v>0</v>
      </c>
      <c r="AL286" s="399">
        <v>0.53804844237124827</v>
      </c>
      <c r="AM286" s="399"/>
      <c r="AN286" s="399">
        <v>6.7111656293903379E-2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0.12266026896372924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12.136090711289407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47.994599999999991</v>
      </c>
      <c r="CJ286" s="399">
        <v>-8.8780800000000113</v>
      </c>
      <c r="CK286" s="399"/>
      <c r="CL286" s="399"/>
      <c r="CM286" s="399"/>
      <c r="CN286" s="399"/>
      <c r="CO286" s="399">
        <v>-12.797070000000007</v>
      </c>
      <c r="CP286" s="399">
        <v>1.5492600000000005</v>
      </c>
      <c r="CQ286" s="399">
        <v>30</v>
      </c>
      <c r="CR286" s="399">
        <v>1.8406487249512189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0.43865480743365381</v>
      </c>
      <c r="DA286" s="399">
        <v>0</v>
      </c>
      <c r="DB286" s="399">
        <v>0</v>
      </c>
      <c r="DC286" s="399">
        <v>1.5492306495119479</v>
      </c>
      <c r="DD286" s="399">
        <v>0</v>
      </c>
      <c r="DE286" s="399">
        <v>0</v>
      </c>
      <c r="DF286" s="399">
        <v>0</v>
      </c>
      <c r="DG286" s="399">
        <v>1.581805039520455E-2</v>
      </c>
      <c r="DH286" s="399">
        <v>0</v>
      </c>
      <c r="DI286" s="399">
        <v>-0.14157203042190236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-1.7107539997932353E-2</v>
      </c>
      <c r="DP286" s="399">
        <v>-4.3752119697513803E-3</v>
      </c>
      <c r="DQ286" s="399">
        <v>0</v>
      </c>
      <c r="DR286" s="399">
        <v>0</v>
      </c>
      <c r="DS286" s="399"/>
      <c r="DT286" s="399"/>
      <c r="DU286" s="399"/>
      <c r="DV286" s="399">
        <v>29.829096447285412</v>
      </c>
      <c r="DW286" s="399">
        <v>0</v>
      </c>
      <c r="DX286" s="399">
        <v>0</v>
      </c>
      <c r="DY286" s="399">
        <v>-12.797070000000009</v>
      </c>
      <c r="DZ286" s="399">
        <v>1.5492600000000003</v>
      </c>
      <c r="EA286" s="399">
        <v>0</v>
      </c>
      <c r="EB286" s="399">
        <v>0</v>
      </c>
      <c r="EC286" s="399">
        <v>-13.088181445895682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216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286</v>
      </c>
      <c r="B287" s="399" t="s">
        <v>954</v>
      </c>
      <c r="C287" s="399" t="s">
        <v>2352</v>
      </c>
      <c r="D287" s="399" t="s">
        <v>2363</v>
      </c>
      <c r="E287" s="399" t="s">
        <v>892</v>
      </c>
      <c r="F287" s="399" t="s">
        <v>1237</v>
      </c>
      <c r="G287" s="399" t="s">
        <v>1237</v>
      </c>
      <c r="H287" s="399" t="s">
        <v>1237</v>
      </c>
      <c r="I287" s="399" t="s">
        <v>1237</v>
      </c>
      <c r="J287" s="399" t="s">
        <v>2353</v>
      </c>
      <c r="K287" s="789">
        <v>44652</v>
      </c>
      <c r="L287" s="399">
        <v>0</v>
      </c>
      <c r="M287" s="399">
        <v>0</v>
      </c>
      <c r="N287" s="399">
        <v>504.02499999999998</v>
      </c>
      <c r="O287" s="399">
        <v>504.02499999999998</v>
      </c>
      <c r="P287" s="399">
        <v>504.02499999999998</v>
      </c>
      <c r="Q287" s="399">
        <v>504.02499999999998</v>
      </c>
      <c r="R287" s="399"/>
      <c r="S287" s="399">
        <v>415.98</v>
      </c>
      <c r="T287" s="399">
        <v>215.17</v>
      </c>
      <c r="U287" s="399"/>
      <c r="V287" s="399">
        <v>318115.37875000003</v>
      </c>
      <c r="W287" s="399">
        <v>318115.37875000003</v>
      </c>
      <c r="X287" s="399">
        <v>276477.87349999999</v>
      </c>
      <c r="Y287" s="399">
        <v>0</v>
      </c>
      <c r="Z287" s="399">
        <v>30789.172604422703</v>
      </c>
      <c r="AA287" s="399">
        <v>0</v>
      </c>
      <c r="AB287" s="399">
        <v>0</v>
      </c>
      <c r="AC287" s="399">
        <v>0</v>
      </c>
      <c r="AD287" s="399">
        <v>45017.283901605479</v>
      </c>
      <c r="AE287" s="399">
        <v>127422.80812787455</v>
      </c>
      <c r="AF287" s="399">
        <v>106229.28559110877</v>
      </c>
      <c r="AG287" s="399">
        <v>2221.2252895891866</v>
      </c>
      <c r="AH287" s="399">
        <v>0</v>
      </c>
      <c r="AI287" s="399">
        <v>0</v>
      </c>
      <c r="AJ287" s="399">
        <v>0</v>
      </c>
      <c r="AK287" s="399">
        <v>0</v>
      </c>
      <c r="AL287" s="399">
        <v>4757.7169502836559</v>
      </c>
      <c r="AM287" s="399"/>
      <c r="AN287" s="399">
        <v>593.43776427253761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1084.6288081481337</v>
      </c>
      <c r="BH287" s="399">
        <v>0</v>
      </c>
      <c r="BI287" s="399">
        <v>0</v>
      </c>
      <c r="BJ287" s="399">
        <v>0</v>
      </c>
      <c r="BK287" s="399">
        <v>74278.31</v>
      </c>
      <c r="BL287" s="399">
        <v>1584</v>
      </c>
      <c r="BM287" s="399"/>
      <c r="BN287" s="399"/>
      <c r="BO287" s="399"/>
      <c r="BP287" s="399"/>
      <c r="BQ287" s="399"/>
      <c r="BR287" s="399">
        <v>33174.925499999998</v>
      </c>
      <c r="BS287" s="399"/>
      <c r="BT287" s="399"/>
      <c r="BU287" s="399"/>
      <c r="BV287" s="399">
        <v>107313.9143992569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243305.3616</v>
      </c>
      <c r="CJ287" s="399">
        <v>-36635.19365000003</v>
      </c>
      <c r="CK287" s="399"/>
      <c r="CL287" s="399"/>
      <c r="CM287" s="399"/>
      <c r="CN287" s="399"/>
      <c r="CO287" s="399">
        <v>-55336.904750000009</v>
      </c>
      <c r="CP287" s="399">
        <v>13699.399500000003</v>
      </c>
      <c r="CQ287" s="399">
        <v>30</v>
      </c>
      <c r="CR287" s="399">
        <v>14270.91028982721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1873.7175832168723</v>
      </c>
      <c r="DA287" s="399">
        <v>0</v>
      </c>
      <c r="DB287" s="399">
        <v>0</v>
      </c>
      <c r="DC287" s="399">
        <v>13699.1399670221</v>
      </c>
      <c r="DD287" s="399">
        <v>0</v>
      </c>
      <c r="DE287" s="399">
        <v>0</v>
      </c>
      <c r="DF287" s="399">
        <v>0</v>
      </c>
      <c r="DG287" s="399">
        <v>139.87180439373651</v>
      </c>
      <c r="DH287" s="399">
        <v>0</v>
      </c>
      <c r="DI287" s="399">
        <v>-1251.8568883052503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-151.27417276241886</v>
      </c>
      <c r="DP287" s="399">
        <v>-38.688003737788222</v>
      </c>
      <c r="DQ287" s="399">
        <v>0</v>
      </c>
      <c r="DR287" s="399">
        <v>0</v>
      </c>
      <c r="DS287" s="399"/>
      <c r="DT287" s="399"/>
      <c r="DU287" s="399"/>
      <c r="DV287" s="399">
        <v>127422.80812787455</v>
      </c>
      <c r="DW287" s="399">
        <v>0</v>
      </c>
      <c r="DX287" s="399">
        <v>0</v>
      </c>
      <c r="DY287" s="399">
        <v>-55336.904750000016</v>
      </c>
      <c r="DZ287" s="399">
        <v>13699.3995</v>
      </c>
      <c r="EA287" s="399">
        <v>0</v>
      </c>
      <c r="EB287" s="399">
        <v>0</v>
      </c>
      <c r="EC287" s="399">
        <v>-55909.59940977169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216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287</v>
      </c>
      <c r="B288" s="399" t="s">
        <v>2354</v>
      </c>
      <c r="C288" s="399" t="s">
        <v>2352</v>
      </c>
      <c r="D288" s="399" t="s">
        <v>2363</v>
      </c>
      <c r="E288" s="399" t="s">
        <v>892</v>
      </c>
      <c r="F288" s="399" t="s">
        <v>1237</v>
      </c>
      <c r="G288" s="399" t="s">
        <v>1237</v>
      </c>
      <c r="H288" s="399" t="s">
        <v>1237</v>
      </c>
      <c r="I288" s="399" t="s">
        <v>1237</v>
      </c>
      <c r="J288" s="399" t="s">
        <v>2353</v>
      </c>
      <c r="K288" s="789">
        <v>44652</v>
      </c>
      <c r="L288" s="399">
        <v>0</v>
      </c>
      <c r="M288" s="399">
        <v>0</v>
      </c>
      <c r="N288" s="399">
        <v>-0.1</v>
      </c>
      <c r="O288" s="399">
        <v>-0.1</v>
      </c>
      <c r="P288" s="399">
        <v>-0.1</v>
      </c>
      <c r="Q288" s="399">
        <v>-0.1</v>
      </c>
      <c r="R288" s="399"/>
      <c r="S288" s="399">
        <v>415.98</v>
      </c>
      <c r="T288" s="399">
        <v>215.17</v>
      </c>
      <c r="U288" s="399"/>
      <c r="V288" s="399">
        <v>-63.115000000000009</v>
      </c>
      <c r="W288" s="399">
        <v>-63.115000000000009</v>
      </c>
      <c r="X288" s="399">
        <v>-54.853999999999999</v>
      </c>
      <c r="Y288" s="399">
        <v>0</v>
      </c>
      <c r="Z288" s="399">
        <v>-6.1086598094187208</v>
      </c>
      <c r="AA288" s="399">
        <v>0</v>
      </c>
      <c r="AB288" s="399">
        <v>0</v>
      </c>
      <c r="AC288" s="399">
        <v>0</v>
      </c>
      <c r="AD288" s="399">
        <v>-8.9315577405099909</v>
      </c>
      <c r="AE288" s="399">
        <v>-25.281049179678501</v>
      </c>
      <c r="AF288" s="399">
        <v>-21.076193758466104</v>
      </c>
      <c r="AG288" s="399">
        <v>-0.44069744349768103</v>
      </c>
      <c r="AH288" s="399">
        <v>0</v>
      </c>
      <c r="AI288" s="399">
        <v>0</v>
      </c>
      <c r="AJ288" s="399">
        <v>0</v>
      </c>
      <c r="AK288" s="399">
        <v>0</v>
      </c>
      <c r="AL288" s="399">
        <v>-0.94394463573903209</v>
      </c>
      <c r="AM288" s="399"/>
      <c r="AN288" s="399">
        <v>-0.11773974788404101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-0.215193454322332</v>
      </c>
      <c r="BH288" s="399">
        <v>0</v>
      </c>
      <c r="BI288" s="399">
        <v>0</v>
      </c>
      <c r="BJ288" s="399">
        <v>0</v>
      </c>
      <c r="BK288" s="399">
        <v>-9.42</v>
      </c>
      <c r="BL288" s="399">
        <v>0</v>
      </c>
      <c r="BM288" s="399"/>
      <c r="BN288" s="399"/>
      <c r="BO288" s="399"/>
      <c r="BP288" s="399"/>
      <c r="BQ288" s="399"/>
      <c r="BR288" s="399">
        <v>-6.5819999999999999</v>
      </c>
      <c r="BS288" s="399"/>
      <c r="BT288" s="399"/>
      <c r="BU288" s="399"/>
      <c r="BV288" s="399">
        <v>-21.291387212788436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-48.272000000000006</v>
      </c>
      <c r="CJ288" s="399">
        <v>7.2389999999999972</v>
      </c>
      <c r="CK288" s="399"/>
      <c r="CL288" s="399"/>
      <c r="CM288" s="399"/>
      <c r="CN288" s="399"/>
      <c r="CO288" s="399">
        <v>10.979000000000003</v>
      </c>
      <c r="CP288" s="399">
        <v>-2.7180000000000009</v>
      </c>
      <c r="CQ288" s="399">
        <v>30</v>
      </c>
      <c r="CR288" s="399">
        <v>-2.8313893735087063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-0.37175092172349977</v>
      </c>
      <c r="DA288" s="399">
        <v>0</v>
      </c>
      <c r="DB288" s="399">
        <v>0</v>
      </c>
      <c r="DC288" s="399">
        <v>-2.7179485079156969</v>
      </c>
      <c r="DD288" s="399">
        <v>0</v>
      </c>
      <c r="DE288" s="399">
        <v>0</v>
      </c>
      <c r="DF288" s="399">
        <v>0</v>
      </c>
      <c r="DG288" s="399">
        <v>-2.7750965605622013E-2</v>
      </c>
      <c r="DH288" s="399">
        <v>0</v>
      </c>
      <c r="DI288" s="399">
        <v>0.24837198319632048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3.0013228066548048E-2</v>
      </c>
      <c r="DP288" s="399">
        <v>7.6758104732480154E-3</v>
      </c>
      <c r="DQ288" s="399">
        <v>0</v>
      </c>
      <c r="DR288" s="399">
        <v>0</v>
      </c>
      <c r="DS288" s="399"/>
      <c r="DT288" s="399"/>
      <c r="DU288" s="399"/>
      <c r="DV288" s="399">
        <v>-25.281049179678501</v>
      </c>
      <c r="DW288" s="399">
        <v>0</v>
      </c>
      <c r="DX288" s="399">
        <v>0</v>
      </c>
      <c r="DY288" s="399">
        <v>10.979000000000006</v>
      </c>
      <c r="DZ288" s="399">
        <v>-2.718</v>
      </c>
      <c r="EA288" s="399">
        <v>0</v>
      </c>
      <c r="EB288" s="399">
        <v>0</v>
      </c>
      <c r="EC288" s="399">
        <v>11.092624256688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216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288</v>
      </c>
      <c r="B289" s="399" t="s">
        <v>2355</v>
      </c>
      <c r="C289" s="399" t="s">
        <v>2352</v>
      </c>
      <c r="D289" s="399" t="s">
        <v>2363</v>
      </c>
      <c r="E289" s="399" t="s">
        <v>892</v>
      </c>
      <c r="F289" s="399" t="s">
        <v>1237</v>
      </c>
      <c r="G289" s="399" t="s">
        <v>1237</v>
      </c>
      <c r="H289" s="399" t="s">
        <v>1237</v>
      </c>
      <c r="I289" s="399" t="s">
        <v>1237</v>
      </c>
      <c r="J289" s="399" t="s">
        <v>2353</v>
      </c>
      <c r="K289" s="789">
        <v>44652</v>
      </c>
      <c r="L289" s="399">
        <v>0</v>
      </c>
      <c r="M289" s="399">
        <v>0</v>
      </c>
      <c r="N289" s="399">
        <v>3.0870000000000002</v>
      </c>
      <c r="O289" s="399">
        <v>3.0870000000000002</v>
      </c>
      <c r="P289" s="399">
        <v>3.0870000000000002</v>
      </c>
      <c r="Q289" s="399">
        <v>3.0870000000000002</v>
      </c>
      <c r="R289" s="399"/>
      <c r="S289" s="399">
        <v>415.98</v>
      </c>
      <c r="T289" s="399">
        <v>215.17</v>
      </c>
      <c r="U289" s="399"/>
      <c r="V289" s="399">
        <v>1948.3600500000002</v>
      </c>
      <c r="W289" s="399">
        <v>1948.3600500000002</v>
      </c>
      <c r="X289" s="399">
        <v>1693.3429799999999</v>
      </c>
      <c r="Y289" s="399">
        <v>0</v>
      </c>
      <c r="Z289" s="399">
        <v>188.5743283167559</v>
      </c>
      <c r="AA289" s="399">
        <v>0</v>
      </c>
      <c r="AB289" s="399">
        <v>0</v>
      </c>
      <c r="AC289" s="399">
        <v>0</v>
      </c>
      <c r="AD289" s="399">
        <v>275.71718744954342</v>
      </c>
      <c r="AE289" s="399">
        <v>780.42598817667533</v>
      </c>
      <c r="AF289" s="399">
        <v>650.6221013238486</v>
      </c>
      <c r="AG289" s="399">
        <v>13.604330080773414</v>
      </c>
      <c r="AH289" s="399">
        <v>0</v>
      </c>
      <c r="AI289" s="399">
        <v>0</v>
      </c>
      <c r="AJ289" s="399">
        <v>0</v>
      </c>
      <c r="AK289" s="399">
        <v>0</v>
      </c>
      <c r="AL289" s="399">
        <v>29.13957090526392</v>
      </c>
      <c r="AM289" s="399"/>
      <c r="AN289" s="399">
        <v>3.6346260171803459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6.6430219349303892</v>
      </c>
      <c r="BH289" s="399">
        <v>0</v>
      </c>
      <c r="BI289" s="399">
        <v>0</v>
      </c>
      <c r="BJ289" s="399">
        <v>0</v>
      </c>
      <c r="BK289" s="399">
        <v>2979.09</v>
      </c>
      <c r="BL289" s="399">
        <v>21</v>
      </c>
      <c r="BM289" s="399"/>
      <c r="BN289" s="399"/>
      <c r="BO289" s="399"/>
      <c r="BP289" s="399"/>
      <c r="BQ289" s="399"/>
      <c r="BR289" s="399">
        <v>203.18633999999997</v>
      </c>
      <c r="BS289" s="399"/>
      <c r="BT289" s="399"/>
      <c r="BU289" s="399"/>
      <c r="BV289" s="399">
        <v>657.265123258779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1491.6048000000001</v>
      </c>
      <c r="CJ289" s="399">
        <v>-222.97586999999999</v>
      </c>
      <c r="CK289" s="399"/>
      <c r="CL289" s="399"/>
      <c r="CM289" s="399"/>
      <c r="CN289" s="399"/>
      <c r="CO289" s="399">
        <v>-338.92173000000008</v>
      </c>
      <c r="CP289" s="399">
        <v>83.904660000000021</v>
      </c>
      <c r="CQ289" s="399">
        <v>30</v>
      </c>
      <c r="CR289" s="399">
        <v>87.40498996021347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11.475950953604467</v>
      </c>
      <c r="DA289" s="399">
        <v>0</v>
      </c>
      <c r="DB289" s="399">
        <v>0</v>
      </c>
      <c r="DC289" s="399">
        <v>83.903070439357634</v>
      </c>
      <c r="DD289" s="399">
        <v>0</v>
      </c>
      <c r="DE289" s="399">
        <v>0</v>
      </c>
      <c r="DF289" s="399">
        <v>0</v>
      </c>
      <c r="DG289" s="399">
        <v>0.85667230824555141</v>
      </c>
      <c r="DH289" s="399">
        <v>0</v>
      </c>
      <c r="DI289" s="399">
        <v>-7.6672431212703884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-0.9265083504143341</v>
      </c>
      <c r="DP289" s="399">
        <v>-0.23695226930916613</v>
      </c>
      <c r="DQ289" s="399">
        <v>0</v>
      </c>
      <c r="DR289" s="399">
        <v>0</v>
      </c>
      <c r="DS289" s="399"/>
      <c r="DT289" s="399"/>
      <c r="DU289" s="399"/>
      <c r="DV289" s="399">
        <v>780.42598817667533</v>
      </c>
      <c r="DW289" s="399">
        <v>0</v>
      </c>
      <c r="DX289" s="399">
        <v>0</v>
      </c>
      <c r="DY289" s="399">
        <v>-338.92173000000014</v>
      </c>
      <c r="DZ289" s="399">
        <v>83.904660000000035</v>
      </c>
      <c r="EA289" s="399">
        <v>0</v>
      </c>
      <c r="EB289" s="399">
        <v>0</v>
      </c>
      <c r="EC289" s="399">
        <v>-342.42931080395851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216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289</v>
      </c>
      <c r="B290" s="399" t="s">
        <v>954</v>
      </c>
      <c r="C290" s="399" t="s">
        <v>2352</v>
      </c>
      <c r="D290" s="399" t="s">
        <v>1824</v>
      </c>
      <c r="E290" s="399" t="s">
        <v>2364</v>
      </c>
      <c r="F290" s="399" t="s">
        <v>1237</v>
      </c>
      <c r="G290" s="399" t="s">
        <v>1237</v>
      </c>
      <c r="H290" s="399" t="s">
        <v>1237</v>
      </c>
      <c r="I290" s="399" t="s">
        <v>1237</v>
      </c>
      <c r="J290" s="399" t="s">
        <v>2353</v>
      </c>
      <c r="K290" s="789">
        <v>44652</v>
      </c>
      <c r="L290" s="399">
        <v>0</v>
      </c>
      <c r="M290" s="399">
        <v>0</v>
      </c>
      <c r="N290" s="399">
        <v>31.946999999999999</v>
      </c>
      <c r="O290" s="399">
        <v>31.946999999999999</v>
      </c>
      <c r="P290" s="399">
        <v>31.946999999999999</v>
      </c>
      <c r="Q290" s="399">
        <v>31.946999999999999</v>
      </c>
      <c r="R290" s="399"/>
      <c r="S290" s="399">
        <v>415.98</v>
      </c>
      <c r="T290" s="399">
        <v>215.17</v>
      </c>
      <c r="U290" s="399"/>
      <c r="V290" s="399">
        <v>20163.349050000001</v>
      </c>
      <c r="W290" s="399">
        <v>20163.349050000001</v>
      </c>
      <c r="X290" s="399">
        <v>17524.20738</v>
      </c>
      <c r="Y290" s="399">
        <v>0</v>
      </c>
      <c r="Z290" s="399">
        <v>1951.5335493149985</v>
      </c>
      <c r="AA290" s="399">
        <v>0</v>
      </c>
      <c r="AB290" s="399">
        <v>0</v>
      </c>
      <c r="AC290" s="399">
        <v>0</v>
      </c>
      <c r="AD290" s="399">
        <v>2853.3647513607266</v>
      </c>
      <c r="AE290" s="399">
        <v>8076.5367814318897</v>
      </c>
      <c r="AF290" s="399">
        <v>6733.2116200171649</v>
      </c>
      <c r="AG290" s="399">
        <v>140.78961227420416</v>
      </c>
      <c r="AH290" s="399">
        <v>0</v>
      </c>
      <c r="AI290" s="399">
        <v>0</v>
      </c>
      <c r="AJ290" s="399">
        <v>0</v>
      </c>
      <c r="AK290" s="399">
        <v>0</v>
      </c>
      <c r="AL290" s="399">
        <v>301.56199277954858</v>
      </c>
      <c r="AM290" s="399"/>
      <c r="AN290" s="399">
        <v>37.614317256514575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68.747852852355393</v>
      </c>
      <c r="BH290" s="399">
        <v>0</v>
      </c>
      <c r="BI290" s="399">
        <v>0</v>
      </c>
      <c r="BJ290" s="399">
        <v>0</v>
      </c>
      <c r="BK290" s="399">
        <v>5926.43</v>
      </c>
      <c r="BL290" s="399">
        <v>50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6801.9594728695201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17525.852999999999</v>
      </c>
      <c r="CJ290" s="399">
        <v>-2637.5260500000004</v>
      </c>
      <c r="CK290" s="399"/>
      <c r="CL290" s="399"/>
      <c r="CM290" s="399"/>
      <c r="CN290" s="399"/>
      <c r="CO290" s="399">
        <v>-3507.4611300000006</v>
      </c>
      <c r="CP290" s="399">
        <v>868.31946000000016</v>
      </c>
      <c r="CQ290" s="399">
        <v>30</v>
      </c>
      <c r="CR290" s="399">
        <v>904.54396315482336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118.76326696300657</v>
      </c>
      <c r="DA290" s="399">
        <v>0</v>
      </c>
      <c r="DB290" s="399">
        <v>0</v>
      </c>
      <c r="DC290" s="399">
        <v>868.30300982382869</v>
      </c>
      <c r="DD290" s="399">
        <v>0</v>
      </c>
      <c r="DE290" s="399">
        <v>0</v>
      </c>
      <c r="DF290" s="399">
        <v>0</v>
      </c>
      <c r="DG290" s="399">
        <v>8.8656009820280701</v>
      </c>
      <c r="DH290" s="399">
        <v>0</v>
      </c>
      <c r="DI290" s="399">
        <v>-79.3473974717283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-9.5883259704201009</v>
      </c>
      <c r="DP290" s="399">
        <v>-2.4521911718885363</v>
      </c>
      <c r="DQ290" s="399">
        <v>0</v>
      </c>
      <c r="DR290" s="399">
        <v>0</v>
      </c>
      <c r="DS290" s="399"/>
      <c r="DT290" s="399"/>
      <c r="DU290" s="399"/>
      <c r="DV290" s="399">
        <v>8076.5367814318897</v>
      </c>
      <c r="DW290" s="399">
        <v>0</v>
      </c>
      <c r="DX290" s="399">
        <v>0</v>
      </c>
      <c r="DY290" s="399">
        <v>-3507.4611300000015</v>
      </c>
      <c r="DZ290" s="399">
        <v>868.31946000000062</v>
      </c>
      <c r="EA290" s="399">
        <v>0</v>
      </c>
      <c r="EB290" s="399">
        <v>0</v>
      </c>
      <c r="EC290" s="399">
        <v>-3543.7606712841143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216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290</v>
      </c>
      <c r="B291" s="399" t="s">
        <v>954</v>
      </c>
      <c r="C291" s="399" t="s">
        <v>2352</v>
      </c>
      <c r="D291" s="399" t="s">
        <v>2365</v>
      </c>
      <c r="E291" s="399" t="s">
        <v>2366</v>
      </c>
      <c r="F291" s="399" t="s">
        <v>2367</v>
      </c>
      <c r="G291" s="399" t="s">
        <v>1237</v>
      </c>
      <c r="H291" s="399" t="s">
        <v>1237</v>
      </c>
      <c r="I291" s="399" t="s">
        <v>1237</v>
      </c>
      <c r="J291" s="399" t="s">
        <v>2353</v>
      </c>
      <c r="K291" s="789">
        <v>44652</v>
      </c>
      <c r="L291" s="399">
        <v>0</v>
      </c>
      <c r="M291" s="399">
        <v>0</v>
      </c>
      <c r="N291" s="399">
        <v>100.651</v>
      </c>
      <c r="O291" s="399">
        <v>100.651</v>
      </c>
      <c r="P291" s="399">
        <v>100.651</v>
      </c>
      <c r="Q291" s="399">
        <v>100.651</v>
      </c>
      <c r="R291" s="399"/>
      <c r="S291" s="399">
        <v>228.79</v>
      </c>
      <c r="T291" s="399">
        <v>118.34</v>
      </c>
      <c r="U291" s="399"/>
      <c r="V291" s="399">
        <v>34938.981629999995</v>
      </c>
      <c r="W291" s="399">
        <v>34938.981629999995</v>
      </c>
      <c r="X291" s="399">
        <v>30365.40019</v>
      </c>
      <c r="Y291" s="399">
        <v>0</v>
      </c>
      <c r="Z291" s="399">
        <v>3381.6349516279138</v>
      </c>
      <c r="AA291" s="399">
        <v>0</v>
      </c>
      <c r="AB291" s="399">
        <v>0</v>
      </c>
      <c r="AC291" s="399">
        <v>0</v>
      </c>
      <c r="AD291" s="399">
        <v>4944.336199770396</v>
      </c>
      <c r="AE291" s="399">
        <v>13995.095845411039</v>
      </c>
      <c r="AF291" s="399">
        <v>11667.369878908488</v>
      </c>
      <c r="AG291" s="399">
        <v>243.96151112016847</v>
      </c>
      <c r="AH291" s="399">
        <v>0</v>
      </c>
      <c r="AI291" s="399">
        <v>0</v>
      </c>
      <c r="AJ291" s="399">
        <v>0</v>
      </c>
      <c r="AK291" s="399">
        <v>0</v>
      </c>
      <c r="AL291" s="399">
        <v>522.54934342473166</v>
      </c>
      <c r="AM291" s="399"/>
      <c r="AN291" s="399">
        <v>65.178428503521616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119.12690004048309</v>
      </c>
      <c r="BH291" s="399">
        <v>0</v>
      </c>
      <c r="BI291" s="399">
        <v>0</v>
      </c>
      <c r="BJ291" s="399">
        <v>0</v>
      </c>
      <c r="BK291" s="399">
        <v>13688.6</v>
      </c>
      <c r="BL291" s="399">
        <v>87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11786.496778948971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30365.0985</v>
      </c>
      <c r="CJ291" s="399">
        <v>-4573.9131300000008</v>
      </c>
      <c r="CK291" s="399"/>
      <c r="CL291" s="399"/>
      <c r="CM291" s="399"/>
      <c r="CN291" s="399"/>
      <c r="CO291" s="399">
        <v>-6078.3138899999985</v>
      </c>
      <c r="CP291" s="399">
        <v>1504.7324499999988</v>
      </c>
      <c r="CQ291" s="399">
        <v>30</v>
      </c>
      <c r="CR291" s="399">
        <v>1567.4019450816995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205.79406112315064</v>
      </c>
      <c r="DA291" s="399">
        <v>0</v>
      </c>
      <c r="DB291" s="399">
        <v>0</v>
      </c>
      <c r="DC291" s="399">
        <v>1504.6032939862907</v>
      </c>
      <c r="DD291" s="399">
        <v>0</v>
      </c>
      <c r="DE291" s="399">
        <v>0</v>
      </c>
      <c r="DF291" s="399">
        <v>0</v>
      </c>
      <c r="DG291" s="399">
        <v>15.362393415443961</v>
      </c>
      <c r="DH291" s="399">
        <v>0</v>
      </c>
      <c r="DI291" s="399">
        <v>-137.49388664380467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-16.61473779969441</v>
      </c>
      <c r="DP291" s="399">
        <v>-4.2491789996860732</v>
      </c>
      <c r="DQ291" s="399">
        <v>0</v>
      </c>
      <c r="DR291" s="399">
        <v>0</v>
      </c>
      <c r="DS291" s="399"/>
      <c r="DT291" s="399"/>
      <c r="DU291" s="399"/>
      <c r="DV291" s="399">
        <v>13995.095845411039</v>
      </c>
      <c r="DW291" s="399">
        <v>0</v>
      </c>
      <c r="DX291" s="399">
        <v>0</v>
      </c>
      <c r="DY291" s="399">
        <v>-6078.3138899999976</v>
      </c>
      <c r="DZ291" s="399">
        <v>1504.7324499999995</v>
      </c>
      <c r="EA291" s="399">
        <v>0</v>
      </c>
      <c r="EB291" s="399">
        <v>0</v>
      </c>
      <c r="EC291" s="399">
        <v>-6140.660482329492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216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291</v>
      </c>
      <c r="B292" s="399" t="s">
        <v>954</v>
      </c>
      <c r="C292" s="399" t="s">
        <v>2352</v>
      </c>
      <c r="D292" s="399" t="s">
        <v>1824</v>
      </c>
      <c r="E292" s="399" t="s">
        <v>919</v>
      </c>
      <c r="F292" s="399" t="s">
        <v>2368</v>
      </c>
      <c r="G292" s="399" t="s">
        <v>1237</v>
      </c>
      <c r="H292" s="399" t="s">
        <v>1237</v>
      </c>
      <c r="I292" s="399" t="s">
        <v>1237</v>
      </c>
      <c r="J292" s="399" t="s">
        <v>2353</v>
      </c>
      <c r="K292" s="789">
        <v>44652</v>
      </c>
      <c r="L292" s="399">
        <v>0</v>
      </c>
      <c r="M292" s="399">
        <v>0</v>
      </c>
      <c r="N292" s="399">
        <v>19.263999999999999</v>
      </c>
      <c r="O292" s="399">
        <v>18.108160000000002</v>
      </c>
      <c r="P292" s="399">
        <v>19.263999999999999</v>
      </c>
      <c r="Q292" s="399">
        <v>18.108160000000002</v>
      </c>
      <c r="R292" s="399"/>
      <c r="S292" s="399">
        <v>415.98</v>
      </c>
      <c r="T292" s="399">
        <v>215.17</v>
      </c>
      <c r="U292" s="399"/>
      <c r="V292" s="399">
        <v>12158.473599999999</v>
      </c>
      <c r="W292" s="399">
        <v>12158.473599999999</v>
      </c>
      <c r="X292" s="399">
        <v>10567.074560000001</v>
      </c>
      <c r="Y292" s="399">
        <v>0</v>
      </c>
      <c r="Z292" s="399">
        <v>1176.7722256864222</v>
      </c>
      <c r="AA292" s="399">
        <v>0</v>
      </c>
      <c r="AB292" s="399">
        <v>0</v>
      </c>
      <c r="AC292" s="399">
        <v>0</v>
      </c>
      <c r="AD292" s="399">
        <v>1720.5752831318443</v>
      </c>
      <c r="AE292" s="399">
        <v>4870.1413139732658</v>
      </c>
      <c r="AF292" s="399">
        <v>4060.1179656309096</v>
      </c>
      <c r="AG292" s="399">
        <v>84.895955515393268</v>
      </c>
      <c r="AH292" s="399">
        <v>0</v>
      </c>
      <c r="AI292" s="399">
        <v>0</v>
      </c>
      <c r="AJ292" s="399">
        <v>0</v>
      </c>
      <c r="AK292" s="399">
        <v>0</v>
      </c>
      <c r="AL292" s="399">
        <v>181.84149462876712</v>
      </c>
      <c r="AM292" s="399"/>
      <c r="AN292" s="399">
        <v>22.681385032381659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41.45486704065403</v>
      </c>
      <c r="BH292" s="399">
        <v>0</v>
      </c>
      <c r="BI292" s="399">
        <v>0</v>
      </c>
      <c r="BJ292" s="399">
        <v>0</v>
      </c>
      <c r="BK292" s="399">
        <v>4423.3599999999997</v>
      </c>
      <c r="BL292" s="399">
        <v>4</v>
      </c>
      <c r="BM292" s="399"/>
      <c r="BN292" s="399"/>
      <c r="BO292" s="399"/>
      <c r="BP292" s="399"/>
      <c r="BQ292" s="399">
        <v>634.02447359999883</v>
      </c>
      <c r="BR292" s="399"/>
      <c r="BS292" s="399"/>
      <c r="BT292" s="399"/>
      <c r="BU292" s="399"/>
      <c r="BV292" s="399">
        <v>4101.5728326715634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9934.0593999999983</v>
      </c>
      <c r="CJ292" s="399">
        <v>-1494.935784000003</v>
      </c>
      <c r="CK292" s="399"/>
      <c r="CL292" s="399"/>
      <c r="CM292" s="399"/>
      <c r="CN292" s="399"/>
      <c r="CO292" s="399">
        <v>-2114.9945600000005</v>
      </c>
      <c r="CP292" s="399">
        <v>523.59552000000008</v>
      </c>
      <c r="CQ292" s="399">
        <v>30</v>
      </c>
      <c r="CR292" s="399">
        <v>545.43884891271773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71.614097560815253</v>
      </c>
      <c r="DA292" s="399">
        <v>0</v>
      </c>
      <c r="DB292" s="399">
        <v>0</v>
      </c>
      <c r="DC292" s="399">
        <v>523.58560056488022</v>
      </c>
      <c r="DD292" s="399">
        <v>0</v>
      </c>
      <c r="DE292" s="399">
        <v>0</v>
      </c>
      <c r="DF292" s="399">
        <v>0</v>
      </c>
      <c r="DG292" s="399">
        <v>5.3459460142670281</v>
      </c>
      <c r="DH292" s="399">
        <v>0</v>
      </c>
      <c r="DI292" s="399">
        <v>-47.846378842938975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-5.7817482547397958</v>
      </c>
      <c r="DP292" s="399">
        <v>-1.478668129566497</v>
      </c>
      <c r="DQ292" s="399">
        <v>0</v>
      </c>
      <c r="DR292" s="399">
        <v>0</v>
      </c>
      <c r="DS292" s="399"/>
      <c r="DT292" s="399"/>
      <c r="DU292" s="399"/>
      <c r="DV292" s="399">
        <v>4870.1413139732658</v>
      </c>
      <c r="DW292" s="399">
        <v>0</v>
      </c>
      <c r="DX292" s="399">
        <v>0</v>
      </c>
      <c r="DY292" s="399">
        <v>-2114.9945600000001</v>
      </c>
      <c r="DZ292" s="399">
        <v>523.59552000000076</v>
      </c>
      <c r="EA292" s="399">
        <v>0</v>
      </c>
      <c r="EB292" s="399">
        <v>0</v>
      </c>
      <c r="EC292" s="399">
        <v>-2136.8831368083756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216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292</v>
      </c>
      <c r="B293" s="399" t="s">
        <v>954</v>
      </c>
      <c r="C293" s="399" t="s">
        <v>2352</v>
      </c>
      <c r="D293" s="399" t="s">
        <v>1824</v>
      </c>
      <c r="E293" s="399" t="s">
        <v>2369</v>
      </c>
      <c r="F293" s="399" t="s">
        <v>1237</v>
      </c>
      <c r="G293" s="399" t="s">
        <v>1237</v>
      </c>
      <c r="H293" s="399" t="s">
        <v>1237</v>
      </c>
      <c r="I293" s="399" t="s">
        <v>1237</v>
      </c>
      <c r="J293" s="399" t="s">
        <v>2353</v>
      </c>
      <c r="K293" s="789">
        <v>44652</v>
      </c>
      <c r="L293" s="399">
        <v>0</v>
      </c>
      <c r="M293" s="399">
        <v>0</v>
      </c>
      <c r="N293" s="399">
        <v>2.4729999999999999</v>
      </c>
      <c r="O293" s="399">
        <v>2.4729999999999999</v>
      </c>
      <c r="P293" s="399">
        <v>2.4729999999999999</v>
      </c>
      <c r="Q293" s="399">
        <v>2.4729999999999999</v>
      </c>
      <c r="R293" s="399"/>
      <c r="S293" s="399">
        <v>415.98</v>
      </c>
      <c r="T293" s="399">
        <v>215.17</v>
      </c>
      <c r="U293" s="399"/>
      <c r="V293" s="399">
        <v>1560.83395</v>
      </c>
      <c r="W293" s="399">
        <v>1560.83395</v>
      </c>
      <c r="X293" s="399">
        <v>1356.5394200000001</v>
      </c>
      <c r="Y293" s="399">
        <v>0</v>
      </c>
      <c r="Z293" s="399">
        <v>151.06715708692494</v>
      </c>
      <c r="AA293" s="399">
        <v>0</v>
      </c>
      <c r="AB293" s="399">
        <v>0</v>
      </c>
      <c r="AC293" s="399">
        <v>0</v>
      </c>
      <c r="AD293" s="399">
        <v>220.87742292281203</v>
      </c>
      <c r="AE293" s="399">
        <v>625.20034621344928</v>
      </c>
      <c r="AF293" s="399">
        <v>521.21427164686668</v>
      </c>
      <c r="AG293" s="399">
        <v>10.898447777697651</v>
      </c>
      <c r="AH293" s="399">
        <v>0</v>
      </c>
      <c r="AI293" s="399">
        <v>0</v>
      </c>
      <c r="AJ293" s="399">
        <v>0</v>
      </c>
      <c r="AK293" s="399">
        <v>0</v>
      </c>
      <c r="AL293" s="399">
        <v>23.34375084182626</v>
      </c>
      <c r="AM293" s="399"/>
      <c r="AN293" s="399">
        <v>2.9117039651723338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5.32173412539127</v>
      </c>
      <c r="BH293" s="399">
        <v>0</v>
      </c>
      <c r="BI293" s="399">
        <v>0</v>
      </c>
      <c r="BJ293" s="399">
        <v>0</v>
      </c>
      <c r="BK293" s="399">
        <v>555.02</v>
      </c>
      <c r="BL293" s="399">
        <v>1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526.53600577225791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1354.8938000000001</v>
      </c>
      <c r="CJ293" s="399">
        <v>-205.97014999999988</v>
      </c>
      <c r="CK293" s="399"/>
      <c r="CL293" s="399"/>
      <c r="CM293" s="399"/>
      <c r="CN293" s="399"/>
      <c r="CO293" s="399">
        <v>-271.51067000000006</v>
      </c>
      <c r="CP293" s="399">
        <v>67.21614000000001</v>
      </c>
      <c r="CQ293" s="399">
        <v>30</v>
      </c>
      <c r="CR293" s="399">
        <v>70.020259206870378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9.1934002942221866</v>
      </c>
      <c r="DA293" s="399">
        <v>0</v>
      </c>
      <c r="DB293" s="399">
        <v>0</v>
      </c>
      <c r="DC293" s="399">
        <v>67.214866600755158</v>
      </c>
      <c r="DD293" s="399">
        <v>0</v>
      </c>
      <c r="DE293" s="399">
        <v>0</v>
      </c>
      <c r="DF293" s="399">
        <v>0</v>
      </c>
      <c r="DG293" s="399">
        <v>0.68628137942703216</v>
      </c>
      <c r="DH293" s="399">
        <v>0</v>
      </c>
      <c r="DI293" s="399">
        <v>-6.1422391444449715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-0.74222713008573038</v>
      </c>
      <c r="DP293" s="399">
        <v>-0.18982279300342331</v>
      </c>
      <c r="DQ293" s="399">
        <v>0</v>
      </c>
      <c r="DR293" s="399">
        <v>0</v>
      </c>
      <c r="DS293" s="399"/>
      <c r="DT293" s="399"/>
      <c r="DU293" s="399"/>
      <c r="DV293" s="399">
        <v>625.20034621344928</v>
      </c>
      <c r="DW293" s="399">
        <v>0</v>
      </c>
      <c r="DX293" s="399">
        <v>0</v>
      </c>
      <c r="DY293" s="399">
        <v>-271.51067000000012</v>
      </c>
      <c r="DZ293" s="399">
        <v>67.216140000000109</v>
      </c>
      <c r="EA293" s="399">
        <v>0</v>
      </c>
      <c r="EB293" s="399">
        <v>0</v>
      </c>
      <c r="EC293" s="399">
        <v>-274.32059786789421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216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293</v>
      </c>
      <c r="B294" s="399" t="s">
        <v>954</v>
      </c>
      <c r="C294" s="399" t="s">
        <v>2352</v>
      </c>
      <c r="D294" s="399" t="s">
        <v>2363</v>
      </c>
      <c r="E294" s="399" t="s">
        <v>892</v>
      </c>
      <c r="F294" s="399" t="s">
        <v>2370</v>
      </c>
      <c r="G294" s="399" t="s">
        <v>2371</v>
      </c>
      <c r="H294" s="399" t="s">
        <v>1237</v>
      </c>
      <c r="I294" s="399" t="s">
        <v>1237</v>
      </c>
      <c r="J294" s="399" t="s">
        <v>2353</v>
      </c>
      <c r="K294" s="789">
        <v>44652</v>
      </c>
      <c r="L294" s="399">
        <v>0</v>
      </c>
      <c r="M294" s="399">
        <v>0</v>
      </c>
      <c r="N294" s="399">
        <v>0</v>
      </c>
      <c r="O294" s="399">
        <v>0</v>
      </c>
      <c r="P294" s="399">
        <v>0</v>
      </c>
      <c r="Q294" s="399">
        <v>0</v>
      </c>
      <c r="R294" s="399"/>
      <c r="S294" s="399"/>
      <c r="T294" s="399"/>
      <c r="U294" s="399"/>
      <c r="V294" s="399"/>
      <c r="W294" s="399"/>
      <c r="X294" s="399"/>
      <c r="Y294" s="399"/>
      <c r="Z294" s="399"/>
      <c r="AA294" s="399">
        <v>0</v>
      </c>
      <c r="AB294" s="399"/>
      <c r="AC294" s="399"/>
      <c r="AD294" s="399"/>
      <c r="AE294" s="399"/>
      <c r="AF294" s="399"/>
      <c r="AG294" s="399"/>
      <c r="AH294" s="399"/>
      <c r="AI294" s="399"/>
      <c r="AJ294" s="399"/>
      <c r="AK294" s="399"/>
      <c r="AL294" s="399"/>
      <c r="AM294" s="399"/>
      <c r="AN294" s="399"/>
      <c r="AO294" s="399"/>
      <c r="AP294" s="399"/>
      <c r="AQ294" s="399"/>
      <c r="AR294" s="399"/>
      <c r="AS294" s="399"/>
      <c r="AT294" s="399"/>
      <c r="AU294" s="399"/>
      <c r="AV294" s="399"/>
      <c r="AW294" s="399"/>
      <c r="AX294" s="399"/>
      <c r="AY294" s="399"/>
      <c r="AZ294" s="399">
        <v>0</v>
      </c>
      <c r="BA294" s="399"/>
      <c r="BB294" s="399"/>
      <c r="BC294" s="399"/>
      <c r="BD294" s="399"/>
      <c r="BE294" s="399"/>
      <c r="BF294" s="399"/>
      <c r="BG294" s="399"/>
      <c r="BH294" s="399"/>
      <c r="BI294" s="399">
        <v>0</v>
      </c>
      <c r="BJ294" s="399">
        <v>0</v>
      </c>
      <c r="BK294" s="399">
        <v>153.82</v>
      </c>
      <c r="BL294" s="399">
        <v>11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/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/>
      <c r="CJ294" s="399">
        <v>-0.03</v>
      </c>
      <c r="CK294" s="399"/>
      <c r="CL294" s="399"/>
      <c r="CM294" s="399"/>
      <c r="CN294" s="399"/>
      <c r="CO294" s="399">
        <v>0</v>
      </c>
      <c r="CP294" s="399">
        <v>0</v>
      </c>
      <c r="CQ294" s="399">
        <v>30</v>
      </c>
      <c r="CR294" s="399"/>
      <c r="CS294" s="399"/>
      <c r="CT294" s="399"/>
      <c r="CU294" s="399"/>
      <c r="CV294" s="399"/>
      <c r="CW294" s="399"/>
      <c r="CX294" s="399"/>
      <c r="CY294" s="399"/>
      <c r="CZ294" s="399"/>
      <c r="DA294" s="399"/>
      <c r="DB294" s="399"/>
      <c r="DC294" s="399"/>
      <c r="DD294" s="399"/>
      <c r="DE294" s="399"/>
      <c r="DF294" s="399"/>
      <c r="DG294" s="399"/>
      <c r="DH294" s="399"/>
      <c r="DI294" s="399"/>
      <c r="DJ294" s="399"/>
      <c r="DK294" s="399">
        <v>0</v>
      </c>
      <c r="DL294" s="399"/>
      <c r="DM294" s="399"/>
      <c r="DN294" s="399"/>
      <c r="DO294" s="399"/>
      <c r="DP294" s="399"/>
      <c r="DQ294" s="399"/>
      <c r="DR294" s="399"/>
      <c r="DS294" s="399"/>
      <c r="DT294" s="399"/>
      <c r="DU294" s="399"/>
      <c r="DV294" s="399"/>
      <c r="DW294" s="399"/>
      <c r="DX294" s="399"/>
      <c r="DY294" s="399"/>
      <c r="DZ294" s="399"/>
      <c r="EA294" s="399"/>
      <c r="EB294" s="399"/>
      <c r="EC294" s="399"/>
      <c r="ED294" s="399"/>
      <c r="EE294" s="399"/>
      <c r="EF294" s="399"/>
      <c r="EG294" s="399"/>
      <c r="EH294" s="399"/>
      <c r="EI294" s="399"/>
      <c r="EJ294" s="399"/>
      <c r="EK294" s="399"/>
      <c r="EL294" s="399"/>
      <c r="EM294" s="399"/>
      <c r="EN294" s="399"/>
      <c r="EO294" s="399"/>
      <c r="EP294" s="399"/>
      <c r="EQ294" s="399"/>
      <c r="ER294" s="399"/>
      <c r="ES294" s="399"/>
      <c r="ET294" s="399"/>
      <c r="EU294" s="399"/>
      <c r="EV294" s="399">
        <v>216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294</v>
      </c>
      <c r="B295" s="399" t="s">
        <v>2354</v>
      </c>
      <c r="C295" s="399" t="s">
        <v>2352</v>
      </c>
      <c r="D295" s="399" t="s">
        <v>2363</v>
      </c>
      <c r="E295" s="399" t="s">
        <v>892</v>
      </c>
      <c r="F295" s="399" t="s">
        <v>2370</v>
      </c>
      <c r="G295" s="399" t="s">
        <v>2371</v>
      </c>
      <c r="H295" s="399" t="s">
        <v>1237</v>
      </c>
      <c r="I295" s="399" t="s">
        <v>1237</v>
      </c>
      <c r="J295" s="399" t="s">
        <v>2353</v>
      </c>
      <c r="K295" s="789">
        <v>44652</v>
      </c>
      <c r="L295" s="399">
        <v>0</v>
      </c>
      <c r="M295" s="399">
        <v>0</v>
      </c>
      <c r="N295" s="399">
        <v>0</v>
      </c>
      <c r="O295" s="399">
        <v>0</v>
      </c>
      <c r="P295" s="399">
        <v>0</v>
      </c>
      <c r="Q295" s="399">
        <v>0</v>
      </c>
      <c r="R295" s="399"/>
      <c r="S295" s="399"/>
      <c r="T295" s="399"/>
      <c r="U295" s="399"/>
      <c r="V295" s="399"/>
      <c r="W295" s="399"/>
      <c r="X295" s="399"/>
      <c r="Y295" s="399"/>
      <c r="Z295" s="399"/>
      <c r="AA295" s="399">
        <v>0</v>
      </c>
      <c r="AB295" s="399"/>
      <c r="AC295" s="399"/>
      <c r="AD295" s="399"/>
      <c r="AE295" s="399"/>
      <c r="AF295" s="399"/>
      <c r="AG295" s="399"/>
      <c r="AH295" s="399"/>
      <c r="AI295" s="399"/>
      <c r="AJ295" s="399"/>
      <c r="AK295" s="399"/>
      <c r="AL295" s="399"/>
      <c r="AM295" s="399"/>
      <c r="AN295" s="399"/>
      <c r="AO295" s="399"/>
      <c r="AP295" s="399"/>
      <c r="AQ295" s="399"/>
      <c r="AR295" s="399"/>
      <c r="AS295" s="399"/>
      <c r="AT295" s="399"/>
      <c r="AU295" s="399"/>
      <c r="AV295" s="399"/>
      <c r="AW295" s="399"/>
      <c r="AX295" s="399"/>
      <c r="AY295" s="399"/>
      <c r="AZ295" s="399">
        <v>0</v>
      </c>
      <c r="BA295" s="399"/>
      <c r="BB295" s="399"/>
      <c r="BC295" s="399"/>
      <c r="BD295" s="399"/>
      <c r="BE295" s="399"/>
      <c r="BF295" s="399"/>
      <c r="BG295" s="399"/>
      <c r="BH295" s="399"/>
      <c r="BI295" s="399">
        <v>0</v>
      </c>
      <c r="BJ295" s="399">
        <v>0</v>
      </c>
      <c r="BK295" s="399">
        <v>-91.24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/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/>
      <c r="CJ295" s="399">
        <v>-0.03</v>
      </c>
      <c r="CK295" s="399"/>
      <c r="CL295" s="399"/>
      <c r="CM295" s="399"/>
      <c r="CN295" s="399"/>
      <c r="CO295" s="399">
        <v>0</v>
      </c>
      <c r="CP295" s="399">
        <v>0</v>
      </c>
      <c r="CQ295" s="399">
        <v>30</v>
      </c>
      <c r="CR295" s="399"/>
      <c r="CS295" s="399"/>
      <c r="CT295" s="399"/>
      <c r="CU295" s="399"/>
      <c r="CV295" s="399"/>
      <c r="CW295" s="399"/>
      <c r="CX295" s="399"/>
      <c r="CY295" s="399"/>
      <c r="CZ295" s="399"/>
      <c r="DA295" s="399"/>
      <c r="DB295" s="399"/>
      <c r="DC295" s="399"/>
      <c r="DD295" s="399"/>
      <c r="DE295" s="399"/>
      <c r="DF295" s="399"/>
      <c r="DG295" s="399"/>
      <c r="DH295" s="399"/>
      <c r="DI295" s="399"/>
      <c r="DJ295" s="399"/>
      <c r="DK295" s="399">
        <v>0</v>
      </c>
      <c r="DL295" s="399"/>
      <c r="DM295" s="399"/>
      <c r="DN295" s="399"/>
      <c r="DO295" s="399"/>
      <c r="DP295" s="399"/>
      <c r="DQ295" s="399"/>
      <c r="DR295" s="399"/>
      <c r="DS295" s="399"/>
      <c r="DT295" s="399"/>
      <c r="DU295" s="399"/>
      <c r="DV295" s="399"/>
      <c r="DW295" s="399"/>
      <c r="DX295" s="399"/>
      <c r="DY295" s="399"/>
      <c r="DZ295" s="399"/>
      <c r="EA295" s="399"/>
      <c r="EB295" s="399"/>
      <c r="EC295" s="399"/>
      <c r="ED295" s="399"/>
      <c r="EE295" s="399"/>
      <c r="EF295" s="399"/>
      <c r="EG295" s="399"/>
      <c r="EH295" s="399"/>
      <c r="EI295" s="399"/>
      <c r="EJ295" s="399"/>
      <c r="EK295" s="399"/>
      <c r="EL295" s="399"/>
      <c r="EM295" s="399"/>
      <c r="EN295" s="399"/>
      <c r="EO295" s="399"/>
      <c r="EP295" s="399"/>
      <c r="EQ295" s="399"/>
      <c r="ER295" s="399"/>
      <c r="ES295" s="399"/>
      <c r="ET295" s="399"/>
      <c r="EU295" s="399"/>
      <c r="EV295" s="399">
        <v>216</v>
      </c>
      <c r="EW295" s="399"/>
      <c r="EX295" s="399"/>
      <c r="EY295" s="399"/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295</v>
      </c>
      <c r="B296" s="399" t="s">
        <v>954</v>
      </c>
      <c r="C296" s="399" t="s">
        <v>2352</v>
      </c>
      <c r="D296" s="399" t="s">
        <v>2363</v>
      </c>
      <c r="E296" s="399" t="s">
        <v>892</v>
      </c>
      <c r="F296" s="399" t="s">
        <v>2370</v>
      </c>
      <c r="G296" s="399" t="s">
        <v>2371</v>
      </c>
      <c r="H296" s="399" t="s">
        <v>1237</v>
      </c>
      <c r="I296" s="399" t="s">
        <v>1237</v>
      </c>
      <c r="J296" s="399" t="s">
        <v>2353</v>
      </c>
      <c r="K296" s="789">
        <v>44652</v>
      </c>
      <c r="L296" s="399">
        <v>0</v>
      </c>
      <c r="M296" s="399">
        <v>0</v>
      </c>
      <c r="N296" s="399">
        <v>0.86</v>
      </c>
      <c r="O296" s="399">
        <v>0.86</v>
      </c>
      <c r="P296" s="399">
        <v>0.86</v>
      </c>
      <c r="Q296" s="399">
        <v>0.86</v>
      </c>
      <c r="R296" s="399"/>
      <c r="S296" s="399">
        <v>415.98</v>
      </c>
      <c r="T296" s="399">
        <v>215.17</v>
      </c>
      <c r="U296" s="399"/>
      <c r="V296" s="399">
        <v>542.78899999999999</v>
      </c>
      <c r="W296" s="399">
        <v>542.78899999999999</v>
      </c>
      <c r="X296" s="399">
        <v>471.74439999999998</v>
      </c>
      <c r="Y296" s="399">
        <v>0</v>
      </c>
      <c r="Z296" s="399">
        <v>52.534474361000996</v>
      </c>
      <c r="AA296" s="399">
        <v>0</v>
      </c>
      <c r="AB296" s="399">
        <v>0</v>
      </c>
      <c r="AC296" s="399">
        <v>0</v>
      </c>
      <c r="AD296" s="399">
        <v>76.811396568385916</v>
      </c>
      <c r="AE296" s="399">
        <v>217.41702294523509</v>
      </c>
      <c r="AF296" s="399">
        <v>181.25526632280847</v>
      </c>
      <c r="AG296" s="399">
        <v>3.7899980140800564</v>
      </c>
      <c r="AH296" s="399">
        <v>0</v>
      </c>
      <c r="AI296" s="399">
        <v>0</v>
      </c>
      <c r="AJ296" s="399">
        <v>0</v>
      </c>
      <c r="AK296" s="399">
        <v>0</v>
      </c>
      <c r="AL296" s="399">
        <v>8.1179238673556746</v>
      </c>
      <c r="AM296" s="399"/>
      <c r="AN296" s="399">
        <v>1.0125618318027525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1.8506637071720551</v>
      </c>
      <c r="BH296" s="399">
        <v>0</v>
      </c>
      <c r="BI296" s="399">
        <v>0</v>
      </c>
      <c r="BJ296" s="399">
        <v>0</v>
      </c>
      <c r="BK296" s="399">
        <v>0</v>
      </c>
      <c r="BL296" s="399">
        <v>0</v>
      </c>
      <c r="BM296" s="399"/>
      <c r="BN296" s="399"/>
      <c r="BO296" s="399"/>
      <c r="BP296" s="399"/>
      <c r="BQ296" s="399"/>
      <c r="BR296" s="399">
        <v>56.605199999999996</v>
      </c>
      <c r="BS296" s="399"/>
      <c r="BT296" s="399"/>
      <c r="BU296" s="399"/>
      <c r="BV296" s="399">
        <v>183.10593002998053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415.13919999999996</v>
      </c>
      <c r="CJ296" s="399">
        <v>-62.54340000000002</v>
      </c>
      <c r="CK296" s="399"/>
      <c r="CL296" s="399"/>
      <c r="CM296" s="399"/>
      <c r="CN296" s="399"/>
      <c r="CO296" s="399">
        <v>-94.41940000000001</v>
      </c>
      <c r="CP296" s="399">
        <v>23.374800000000004</v>
      </c>
      <c r="CQ296" s="399">
        <v>30</v>
      </c>
      <c r="CR296" s="399">
        <v>24.349948612174842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3.1970579268220973</v>
      </c>
      <c r="DA296" s="399">
        <v>0</v>
      </c>
      <c r="DB296" s="399">
        <v>0</v>
      </c>
      <c r="DC296" s="399">
        <v>23.374357168075022</v>
      </c>
      <c r="DD296" s="399">
        <v>0</v>
      </c>
      <c r="DE296" s="399">
        <v>0</v>
      </c>
      <c r="DF296" s="399">
        <v>0</v>
      </c>
      <c r="DG296" s="399">
        <v>0.23865830420834921</v>
      </c>
      <c r="DH296" s="399">
        <v>0</v>
      </c>
      <c r="DI296" s="399">
        <v>-2.1359990554883552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-0.25811376137231168</v>
      </c>
      <c r="DP296" s="399">
        <v>-6.6011970069932757E-2</v>
      </c>
      <c r="DQ296" s="399">
        <v>0</v>
      </c>
      <c r="DR296" s="399">
        <v>0</v>
      </c>
      <c r="DS296" s="399"/>
      <c r="DT296" s="399"/>
      <c r="DU296" s="399"/>
      <c r="DV296" s="399">
        <v>217.41702294523509</v>
      </c>
      <c r="DW296" s="399">
        <v>0</v>
      </c>
      <c r="DX296" s="399">
        <v>0</v>
      </c>
      <c r="DY296" s="399">
        <v>-94.419399999999996</v>
      </c>
      <c r="DZ296" s="399">
        <v>23.374799999999993</v>
      </c>
      <c r="EA296" s="399">
        <v>0</v>
      </c>
      <c r="EB296" s="399">
        <v>0</v>
      </c>
      <c r="EC296" s="399">
        <v>-95.396568607516784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216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296</v>
      </c>
      <c r="B297" s="399" t="s">
        <v>2354</v>
      </c>
      <c r="C297" s="399" t="s">
        <v>2352</v>
      </c>
      <c r="D297" s="399" t="s">
        <v>2363</v>
      </c>
      <c r="E297" s="399" t="s">
        <v>892</v>
      </c>
      <c r="F297" s="399" t="s">
        <v>2370</v>
      </c>
      <c r="G297" s="399" t="s">
        <v>2371</v>
      </c>
      <c r="H297" s="399" t="s">
        <v>1237</v>
      </c>
      <c r="I297" s="399" t="s">
        <v>1237</v>
      </c>
      <c r="J297" s="399" t="s">
        <v>2353</v>
      </c>
      <c r="K297" s="789">
        <v>44652</v>
      </c>
      <c r="L297" s="399">
        <v>0</v>
      </c>
      <c r="M297" s="399">
        <v>0</v>
      </c>
      <c r="N297" s="399">
        <v>-0.65700000000000003</v>
      </c>
      <c r="O297" s="399">
        <v>-0.65700000000000003</v>
      </c>
      <c r="P297" s="399">
        <v>-0.65700000000000003</v>
      </c>
      <c r="Q297" s="399">
        <v>-0.65700000000000003</v>
      </c>
      <c r="R297" s="399"/>
      <c r="S297" s="399">
        <v>415.98</v>
      </c>
      <c r="T297" s="399">
        <v>215.17</v>
      </c>
      <c r="U297" s="399"/>
      <c r="V297" s="399">
        <v>-414.66555000000005</v>
      </c>
      <c r="W297" s="399">
        <v>-414.66555000000005</v>
      </c>
      <c r="X297" s="399">
        <v>-360.39078000000001</v>
      </c>
      <c r="Y297" s="399">
        <v>0</v>
      </c>
      <c r="Z297" s="399">
        <v>-40.133894947880997</v>
      </c>
      <c r="AA297" s="399">
        <v>0</v>
      </c>
      <c r="AB297" s="399">
        <v>0</v>
      </c>
      <c r="AC297" s="399">
        <v>0</v>
      </c>
      <c r="AD297" s="399">
        <v>-58.680334355150634</v>
      </c>
      <c r="AE297" s="399">
        <v>-166.09649311048776</v>
      </c>
      <c r="AF297" s="399">
        <v>-138.4705929931223</v>
      </c>
      <c r="AG297" s="399">
        <v>-2.8953822037797643</v>
      </c>
      <c r="AH297" s="399">
        <v>0</v>
      </c>
      <c r="AI297" s="399">
        <v>0</v>
      </c>
      <c r="AJ297" s="399">
        <v>0</v>
      </c>
      <c r="AK297" s="399">
        <v>0</v>
      </c>
      <c r="AL297" s="399">
        <v>-6.2017162568054403</v>
      </c>
      <c r="AM297" s="399"/>
      <c r="AN297" s="399">
        <v>-0.77355014359814944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-1.4138209948977212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>
        <v>-43.243739999999995</v>
      </c>
      <c r="BS297" s="399"/>
      <c r="BT297" s="399"/>
      <c r="BU297" s="399"/>
      <c r="BV297" s="399">
        <v>-139.88441398802001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-318.59519999999998</v>
      </c>
      <c r="CJ297" s="399">
        <v>46.279170000000079</v>
      </c>
      <c r="CK297" s="399"/>
      <c r="CL297" s="399"/>
      <c r="CM297" s="399"/>
      <c r="CN297" s="399"/>
      <c r="CO297" s="399">
        <v>72.132030000000015</v>
      </c>
      <c r="CP297" s="399">
        <v>-17.857260000000004</v>
      </c>
      <c r="CQ297" s="399">
        <v>30</v>
      </c>
      <c r="CR297" s="399">
        <v>-18.602228183952093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-2.4424035557234021</v>
      </c>
      <c r="DA297" s="399">
        <v>0</v>
      </c>
      <c r="DB297" s="399">
        <v>0</v>
      </c>
      <c r="DC297" s="399">
        <v>-17.856921697006129</v>
      </c>
      <c r="DD297" s="399">
        <v>0</v>
      </c>
      <c r="DE297" s="399">
        <v>0</v>
      </c>
      <c r="DF297" s="399">
        <v>0</v>
      </c>
      <c r="DG297" s="399">
        <v>-0.18232384402893675</v>
      </c>
      <c r="DH297" s="399">
        <v>0</v>
      </c>
      <c r="DI297" s="399">
        <v>1.6318039295998261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0.19718690839721997</v>
      </c>
      <c r="DP297" s="399">
        <v>5.0430074809239445E-2</v>
      </c>
      <c r="DQ297" s="399">
        <v>0</v>
      </c>
      <c r="DR297" s="399">
        <v>0</v>
      </c>
      <c r="DS297" s="399"/>
      <c r="DT297" s="399"/>
      <c r="DU297" s="399"/>
      <c r="DV297" s="399">
        <v>-166.09649311048776</v>
      </c>
      <c r="DW297" s="399">
        <v>0</v>
      </c>
      <c r="DX297" s="399">
        <v>0</v>
      </c>
      <c r="DY297" s="399">
        <v>72.132030000000043</v>
      </c>
      <c r="DZ297" s="399">
        <v>-17.857259999999997</v>
      </c>
      <c r="EA297" s="399">
        <v>0</v>
      </c>
      <c r="EB297" s="399">
        <v>0</v>
      </c>
      <c r="EC297" s="399">
        <v>72.87854136644016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216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297</v>
      </c>
      <c r="B298" s="399" t="s">
        <v>954</v>
      </c>
      <c r="C298" s="399" t="s">
        <v>2352</v>
      </c>
      <c r="D298" s="399" t="s">
        <v>2363</v>
      </c>
      <c r="E298" s="399" t="s">
        <v>892</v>
      </c>
      <c r="F298" s="399" t="s">
        <v>2370</v>
      </c>
      <c r="G298" s="399" t="s">
        <v>2372</v>
      </c>
      <c r="H298" s="399" t="s">
        <v>1237</v>
      </c>
      <c r="I298" s="399" t="s">
        <v>1237</v>
      </c>
      <c r="J298" s="399" t="s">
        <v>2353</v>
      </c>
      <c r="K298" s="789">
        <v>44652</v>
      </c>
      <c r="L298" s="399">
        <v>0</v>
      </c>
      <c r="M298" s="399">
        <v>0</v>
      </c>
      <c r="N298" s="399">
        <v>0.65500000000000003</v>
      </c>
      <c r="O298" s="399">
        <v>0.26200000000000001</v>
      </c>
      <c r="P298" s="399">
        <v>0.65500000000000003</v>
      </c>
      <c r="Q298" s="399">
        <v>0.26200000000000001</v>
      </c>
      <c r="R298" s="399"/>
      <c r="S298" s="399">
        <v>415.98</v>
      </c>
      <c r="T298" s="399">
        <v>215.17</v>
      </c>
      <c r="U298" s="399"/>
      <c r="V298" s="399">
        <v>413.40325000000001</v>
      </c>
      <c r="W298" s="399">
        <v>413.40325000000001</v>
      </c>
      <c r="X298" s="399">
        <v>359.2937</v>
      </c>
      <c r="Y298" s="399">
        <v>0</v>
      </c>
      <c r="Z298" s="399">
        <v>40.011721751692619</v>
      </c>
      <c r="AA298" s="399">
        <v>0</v>
      </c>
      <c r="AB298" s="399">
        <v>0</v>
      </c>
      <c r="AC298" s="399">
        <v>0</v>
      </c>
      <c r="AD298" s="399">
        <v>58.501703200340437</v>
      </c>
      <c r="AE298" s="399">
        <v>165.59087212689417</v>
      </c>
      <c r="AF298" s="399">
        <v>138.04906911795297</v>
      </c>
      <c r="AG298" s="399">
        <v>2.8865682549098106</v>
      </c>
      <c r="AH298" s="399">
        <v>0</v>
      </c>
      <c r="AI298" s="399">
        <v>0</v>
      </c>
      <c r="AJ298" s="399">
        <v>0</v>
      </c>
      <c r="AK298" s="399">
        <v>0</v>
      </c>
      <c r="AL298" s="399">
        <v>6.18283736409066</v>
      </c>
      <c r="AM298" s="399"/>
      <c r="AN298" s="399">
        <v>0.77119534864046857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1.4095171258112746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/>
      <c r="BS298" s="399">
        <v>232.82105999999999</v>
      </c>
      <c r="BT298" s="399"/>
      <c r="BU298" s="399"/>
      <c r="BV298" s="399">
        <v>139.45858624376424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125.50720000000001</v>
      </c>
      <c r="CJ298" s="399">
        <v>-20.040219999999977</v>
      </c>
      <c r="CK298" s="399"/>
      <c r="CL298" s="399"/>
      <c r="CM298" s="399"/>
      <c r="CN298" s="399"/>
      <c r="CO298" s="399">
        <v>-71.912450000000021</v>
      </c>
      <c r="CP298" s="399">
        <v>17.802900000000005</v>
      </c>
      <c r="CQ298" s="399">
        <v>30</v>
      </c>
      <c r="CR298" s="399">
        <v>18.54560039648203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2.4349685372889311</v>
      </c>
      <c r="DA298" s="399">
        <v>0</v>
      </c>
      <c r="DB298" s="399">
        <v>0</v>
      </c>
      <c r="DC298" s="399">
        <v>17.802562726847839</v>
      </c>
      <c r="DD298" s="399">
        <v>0</v>
      </c>
      <c r="DE298" s="399">
        <v>0</v>
      </c>
      <c r="DF298" s="399">
        <v>0</v>
      </c>
      <c r="DG298" s="399">
        <v>0.18176882471682432</v>
      </c>
      <c r="DH298" s="399">
        <v>0</v>
      </c>
      <c r="DI298" s="399">
        <v>-1.6268364899358971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-0.19658664383588942</v>
      </c>
      <c r="DP298" s="399">
        <v>-5.0276558599774424E-2</v>
      </c>
      <c r="DQ298" s="399">
        <v>0</v>
      </c>
      <c r="DR298" s="399">
        <v>0</v>
      </c>
      <c r="DS298" s="399"/>
      <c r="DT298" s="399"/>
      <c r="DU298" s="399"/>
      <c r="DV298" s="399">
        <v>165.59087212689417</v>
      </c>
      <c r="DW298" s="399">
        <v>0</v>
      </c>
      <c r="DX298" s="399">
        <v>0</v>
      </c>
      <c r="DY298" s="399">
        <v>-71.912450000000007</v>
      </c>
      <c r="DZ298" s="399">
        <v>17.802899999999994</v>
      </c>
      <c r="EA298" s="399">
        <v>0</v>
      </c>
      <c r="EB298" s="399">
        <v>0</v>
      </c>
      <c r="EC298" s="399">
        <v>-72.65668888130638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216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298</v>
      </c>
      <c r="B299" s="399" t="s">
        <v>954</v>
      </c>
      <c r="C299" s="399" t="s">
        <v>2352</v>
      </c>
      <c r="D299" s="399" t="s">
        <v>2363</v>
      </c>
      <c r="E299" s="399" t="s">
        <v>892</v>
      </c>
      <c r="F299" s="399" t="s">
        <v>2373</v>
      </c>
      <c r="G299" s="399" t="s">
        <v>2371</v>
      </c>
      <c r="H299" s="399" t="s">
        <v>1237</v>
      </c>
      <c r="I299" s="399" t="s">
        <v>1237</v>
      </c>
      <c r="J299" s="399" t="s">
        <v>2353</v>
      </c>
      <c r="K299" s="789">
        <v>44652</v>
      </c>
      <c r="L299" s="399">
        <v>0</v>
      </c>
      <c r="M299" s="399">
        <v>0</v>
      </c>
      <c r="N299" s="399">
        <v>0</v>
      </c>
      <c r="O299" s="399">
        <v>0</v>
      </c>
      <c r="P299" s="399">
        <v>0</v>
      </c>
      <c r="Q299" s="399">
        <v>0</v>
      </c>
      <c r="R299" s="399"/>
      <c r="S299" s="399"/>
      <c r="T299" s="399"/>
      <c r="U299" s="399"/>
      <c r="V299" s="399"/>
      <c r="W299" s="399"/>
      <c r="X299" s="399"/>
      <c r="Y299" s="399"/>
      <c r="Z299" s="399"/>
      <c r="AA299" s="399">
        <v>0</v>
      </c>
      <c r="AB299" s="399"/>
      <c r="AC299" s="399"/>
      <c r="AD299" s="399"/>
      <c r="AE299" s="399"/>
      <c r="AF299" s="399"/>
      <c r="AG299" s="399"/>
      <c r="AH299" s="399"/>
      <c r="AI299" s="399"/>
      <c r="AJ299" s="399"/>
      <c r="AK299" s="399"/>
      <c r="AL299" s="399"/>
      <c r="AM299" s="399"/>
      <c r="AN299" s="399"/>
      <c r="AO299" s="399"/>
      <c r="AP299" s="399"/>
      <c r="AQ299" s="399"/>
      <c r="AR299" s="399"/>
      <c r="AS299" s="399"/>
      <c r="AT299" s="399"/>
      <c r="AU299" s="399"/>
      <c r="AV299" s="399"/>
      <c r="AW299" s="399"/>
      <c r="AX299" s="399"/>
      <c r="AY299" s="399"/>
      <c r="AZ299" s="399">
        <v>0</v>
      </c>
      <c r="BA299" s="399"/>
      <c r="BB299" s="399"/>
      <c r="BC299" s="399"/>
      <c r="BD299" s="399"/>
      <c r="BE299" s="399"/>
      <c r="BF299" s="399"/>
      <c r="BG299" s="399"/>
      <c r="BH299" s="399"/>
      <c r="BI299" s="399">
        <v>0</v>
      </c>
      <c r="BJ299" s="399">
        <v>0</v>
      </c>
      <c r="BK299" s="399">
        <v>785.17</v>
      </c>
      <c r="BL299" s="399">
        <v>2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/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/>
      <c r="CJ299" s="399">
        <v>-0.03</v>
      </c>
      <c r="CK299" s="399"/>
      <c r="CL299" s="399"/>
      <c r="CM299" s="399"/>
      <c r="CN299" s="399"/>
      <c r="CO299" s="399">
        <v>0</v>
      </c>
      <c r="CP299" s="399">
        <v>0</v>
      </c>
      <c r="CQ299" s="399">
        <v>30</v>
      </c>
      <c r="CR299" s="399"/>
      <c r="CS299" s="399"/>
      <c r="CT299" s="399"/>
      <c r="CU299" s="399"/>
      <c r="CV299" s="399"/>
      <c r="CW299" s="399"/>
      <c r="CX299" s="399"/>
      <c r="CY299" s="399"/>
      <c r="CZ299" s="399"/>
      <c r="DA299" s="399"/>
      <c r="DB299" s="399"/>
      <c r="DC299" s="399"/>
      <c r="DD299" s="399"/>
      <c r="DE299" s="399"/>
      <c r="DF299" s="399"/>
      <c r="DG299" s="399"/>
      <c r="DH299" s="399"/>
      <c r="DI299" s="399"/>
      <c r="DJ299" s="399"/>
      <c r="DK299" s="399">
        <v>0</v>
      </c>
      <c r="DL299" s="399"/>
      <c r="DM299" s="399"/>
      <c r="DN299" s="399"/>
      <c r="DO299" s="399"/>
      <c r="DP299" s="399"/>
      <c r="DQ299" s="399"/>
      <c r="DR299" s="399"/>
      <c r="DS299" s="399"/>
      <c r="DT299" s="399"/>
      <c r="DU299" s="399"/>
      <c r="DV299" s="399"/>
      <c r="DW299" s="399"/>
      <c r="DX299" s="399"/>
      <c r="DY299" s="399"/>
      <c r="DZ299" s="399"/>
      <c r="EA299" s="399"/>
      <c r="EB299" s="399"/>
      <c r="EC299" s="399"/>
      <c r="ED299" s="399"/>
      <c r="EE299" s="399"/>
      <c r="EF299" s="399"/>
      <c r="EG299" s="399"/>
      <c r="EH299" s="399"/>
      <c r="EI299" s="399"/>
      <c r="EJ299" s="399"/>
      <c r="EK299" s="399"/>
      <c r="EL299" s="399"/>
      <c r="EM299" s="399"/>
      <c r="EN299" s="399"/>
      <c r="EO299" s="399"/>
      <c r="EP299" s="399"/>
      <c r="EQ299" s="399"/>
      <c r="ER299" s="399"/>
      <c r="ES299" s="399"/>
      <c r="ET299" s="399"/>
      <c r="EU299" s="399"/>
      <c r="EV299" s="399">
        <v>216</v>
      </c>
      <c r="EW299" s="399"/>
      <c r="EX299" s="399"/>
      <c r="EY299" s="399"/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299</v>
      </c>
      <c r="B300" s="399" t="s">
        <v>954</v>
      </c>
      <c r="C300" s="399" t="s">
        <v>2352</v>
      </c>
      <c r="D300" s="399" t="s">
        <v>2363</v>
      </c>
      <c r="E300" s="399" t="s">
        <v>892</v>
      </c>
      <c r="F300" s="399" t="s">
        <v>2373</v>
      </c>
      <c r="G300" s="399" t="s">
        <v>2371</v>
      </c>
      <c r="H300" s="399" t="s">
        <v>1237</v>
      </c>
      <c r="I300" s="399" t="s">
        <v>1237</v>
      </c>
      <c r="J300" s="399" t="s">
        <v>2353</v>
      </c>
      <c r="K300" s="789">
        <v>44652</v>
      </c>
      <c r="L300" s="399">
        <v>0</v>
      </c>
      <c r="M300" s="399">
        <v>0</v>
      </c>
      <c r="N300" s="399">
        <v>1.05</v>
      </c>
      <c r="O300" s="399">
        <v>1.05</v>
      </c>
      <c r="P300" s="399">
        <v>1.05</v>
      </c>
      <c r="Q300" s="399">
        <v>1.05</v>
      </c>
      <c r="R300" s="399"/>
      <c r="S300" s="399">
        <v>415.98</v>
      </c>
      <c r="T300" s="399">
        <v>215.17</v>
      </c>
      <c r="U300" s="399"/>
      <c r="V300" s="399">
        <v>662.70749999999998</v>
      </c>
      <c r="W300" s="399">
        <v>662.70749999999998</v>
      </c>
      <c r="X300" s="399">
        <v>575.96699999999998</v>
      </c>
      <c r="Y300" s="399">
        <v>0</v>
      </c>
      <c r="Z300" s="399">
        <v>64.140927998896572</v>
      </c>
      <c r="AA300" s="399">
        <v>0</v>
      </c>
      <c r="AB300" s="399">
        <v>0</v>
      </c>
      <c r="AC300" s="399">
        <v>0</v>
      </c>
      <c r="AD300" s="399">
        <v>93.781356275354895</v>
      </c>
      <c r="AE300" s="399">
        <v>265.45101638662425</v>
      </c>
      <c r="AF300" s="399">
        <v>221.30003446389406</v>
      </c>
      <c r="AG300" s="399">
        <v>4.6273231567256508</v>
      </c>
      <c r="AH300" s="399">
        <v>0</v>
      </c>
      <c r="AI300" s="399">
        <v>0</v>
      </c>
      <c r="AJ300" s="399">
        <v>0</v>
      </c>
      <c r="AK300" s="399">
        <v>0</v>
      </c>
      <c r="AL300" s="399">
        <v>9.9114186752598368</v>
      </c>
      <c r="AM300" s="399"/>
      <c r="AN300" s="399">
        <v>1.2362673527824306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2.2595312703844859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>
        <v>69.11099999999999</v>
      </c>
      <c r="BS300" s="399"/>
      <c r="BT300" s="399"/>
      <c r="BU300" s="399"/>
      <c r="BV300" s="399">
        <v>223.55956573427855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506.85599999999999</v>
      </c>
      <c r="CJ300" s="399">
        <v>-76.354499999999916</v>
      </c>
      <c r="CK300" s="399"/>
      <c r="CL300" s="399"/>
      <c r="CM300" s="399"/>
      <c r="CN300" s="399"/>
      <c r="CO300" s="399">
        <v>-115.27950000000003</v>
      </c>
      <c r="CP300" s="399">
        <v>28.539000000000009</v>
      </c>
      <c r="CQ300" s="399">
        <v>30</v>
      </c>
      <c r="CR300" s="399">
        <v>29.729588421841413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3.9033846780967565</v>
      </c>
      <c r="DA300" s="399">
        <v>0</v>
      </c>
      <c r="DB300" s="399">
        <v>0</v>
      </c>
      <c r="DC300" s="399">
        <v>28.538459333114844</v>
      </c>
      <c r="DD300" s="399">
        <v>0</v>
      </c>
      <c r="DE300" s="399">
        <v>0</v>
      </c>
      <c r="DF300" s="399">
        <v>0</v>
      </c>
      <c r="DG300" s="399">
        <v>0.29138513885903139</v>
      </c>
      <c r="DH300" s="399">
        <v>0</v>
      </c>
      <c r="DI300" s="399">
        <v>-2.6079058235613672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-0.31513889469875345</v>
      </c>
      <c r="DP300" s="399">
        <v>-8.0596009969104099E-2</v>
      </c>
      <c r="DQ300" s="399">
        <v>0</v>
      </c>
      <c r="DR300" s="399">
        <v>0</v>
      </c>
      <c r="DS300" s="399"/>
      <c r="DT300" s="399"/>
      <c r="DU300" s="399"/>
      <c r="DV300" s="399">
        <v>265.45101638662425</v>
      </c>
      <c r="DW300" s="399">
        <v>0</v>
      </c>
      <c r="DX300" s="399">
        <v>0</v>
      </c>
      <c r="DY300" s="399">
        <v>-115.27950000000004</v>
      </c>
      <c r="DZ300" s="399">
        <v>28.539000000000016</v>
      </c>
      <c r="EA300" s="399">
        <v>0</v>
      </c>
      <c r="EB300" s="399">
        <v>0</v>
      </c>
      <c r="EC300" s="399">
        <v>-116.47255469522398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216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300</v>
      </c>
      <c r="B301" s="399" t="s">
        <v>954</v>
      </c>
      <c r="C301" s="399" t="s">
        <v>2352</v>
      </c>
      <c r="D301" s="399" t="s">
        <v>2363</v>
      </c>
      <c r="E301" s="399" t="s">
        <v>892</v>
      </c>
      <c r="F301" s="399" t="s">
        <v>2373</v>
      </c>
      <c r="G301" s="399" t="s">
        <v>2372</v>
      </c>
      <c r="H301" s="399" t="s">
        <v>1237</v>
      </c>
      <c r="I301" s="399" t="s">
        <v>1237</v>
      </c>
      <c r="J301" s="399" t="s">
        <v>2353</v>
      </c>
      <c r="K301" s="789">
        <v>44652</v>
      </c>
      <c r="L301" s="399">
        <v>0</v>
      </c>
      <c r="M301" s="399">
        <v>0</v>
      </c>
      <c r="N301" s="399">
        <v>2.88</v>
      </c>
      <c r="O301" s="399">
        <v>1.1519999999999999</v>
      </c>
      <c r="P301" s="399">
        <v>2.88</v>
      </c>
      <c r="Q301" s="399">
        <v>1.1519999999999999</v>
      </c>
      <c r="R301" s="399"/>
      <c r="S301" s="399">
        <v>415.98</v>
      </c>
      <c r="T301" s="399">
        <v>215.17</v>
      </c>
      <c r="U301" s="399"/>
      <c r="V301" s="399">
        <v>1817.712</v>
      </c>
      <c r="W301" s="399">
        <v>1817.712</v>
      </c>
      <c r="X301" s="399">
        <v>1579.7952</v>
      </c>
      <c r="Y301" s="399">
        <v>0</v>
      </c>
      <c r="Z301" s="399">
        <v>175.92940251125913</v>
      </c>
      <c r="AA301" s="399">
        <v>0</v>
      </c>
      <c r="AB301" s="399">
        <v>0</v>
      </c>
      <c r="AC301" s="399">
        <v>0</v>
      </c>
      <c r="AD301" s="399">
        <v>257.22886292668773</v>
      </c>
      <c r="AE301" s="399">
        <v>728.09421637474077</v>
      </c>
      <c r="AF301" s="399">
        <v>606.99438024382368</v>
      </c>
      <c r="AG301" s="399">
        <v>12.692086372733213</v>
      </c>
      <c r="AH301" s="399">
        <v>0</v>
      </c>
      <c r="AI301" s="399">
        <v>0</v>
      </c>
      <c r="AJ301" s="399">
        <v>0</v>
      </c>
      <c r="AK301" s="399">
        <v>0</v>
      </c>
      <c r="AL301" s="399">
        <v>27.18560550928412</v>
      </c>
      <c r="AM301" s="399"/>
      <c r="AN301" s="399">
        <v>3.3909047390603808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6.1975714844831611</v>
      </c>
      <c r="BH301" s="399">
        <v>0</v>
      </c>
      <c r="BI301" s="399">
        <v>0</v>
      </c>
      <c r="BJ301" s="399">
        <v>0</v>
      </c>
      <c r="BK301" s="399">
        <v>0</v>
      </c>
      <c r="BL301" s="399">
        <v>0</v>
      </c>
      <c r="BM301" s="399"/>
      <c r="BN301" s="399"/>
      <c r="BO301" s="399"/>
      <c r="BP301" s="399"/>
      <c r="BQ301" s="399"/>
      <c r="BR301" s="399"/>
      <c r="BS301" s="399">
        <v>1023.7017599999999</v>
      </c>
      <c r="BT301" s="399"/>
      <c r="BU301" s="399"/>
      <c r="BV301" s="399">
        <v>613.19195172830689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555.12799999999993</v>
      </c>
      <c r="CJ301" s="399">
        <v>-84.734320000000025</v>
      </c>
      <c r="CK301" s="399"/>
      <c r="CL301" s="399"/>
      <c r="CM301" s="399"/>
      <c r="CN301" s="399"/>
      <c r="CO301" s="399">
        <v>-316.19520000000006</v>
      </c>
      <c r="CP301" s="399">
        <v>78.278400000000019</v>
      </c>
      <c r="CQ301" s="399">
        <v>30</v>
      </c>
      <c r="CR301" s="399">
        <v>81.544013957050538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10.706426545636816</v>
      </c>
      <c r="DA301" s="399">
        <v>0</v>
      </c>
      <c r="DB301" s="399">
        <v>0</v>
      </c>
      <c r="DC301" s="399">
        <v>78.276917027972104</v>
      </c>
      <c r="DD301" s="399">
        <v>0</v>
      </c>
      <c r="DE301" s="399">
        <v>0</v>
      </c>
      <c r="DF301" s="399">
        <v>0</v>
      </c>
      <c r="DG301" s="399">
        <v>0.79922780944191452</v>
      </c>
      <c r="DH301" s="399">
        <v>0</v>
      </c>
      <c r="DI301" s="399">
        <v>-7.1531131160540156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-0.86438096831658129</v>
      </c>
      <c r="DP301" s="399">
        <v>-0.22106334162954289</v>
      </c>
      <c r="DQ301" s="399">
        <v>0</v>
      </c>
      <c r="DR301" s="399">
        <v>0</v>
      </c>
      <c r="DS301" s="399"/>
      <c r="DT301" s="399"/>
      <c r="DU301" s="399"/>
      <c r="DV301" s="399">
        <v>728.09421637474077</v>
      </c>
      <c r="DW301" s="399">
        <v>0</v>
      </c>
      <c r="DX301" s="399">
        <v>0</v>
      </c>
      <c r="DY301" s="399">
        <v>-316.19520000000011</v>
      </c>
      <c r="DZ301" s="399">
        <v>78.278400000000033</v>
      </c>
      <c r="EA301" s="399">
        <v>0</v>
      </c>
      <c r="EB301" s="399">
        <v>0</v>
      </c>
      <c r="EC301" s="399">
        <v>-319.46757859261436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216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301</v>
      </c>
      <c r="B302" s="399" t="s">
        <v>954</v>
      </c>
      <c r="C302" s="399" t="s">
        <v>2352</v>
      </c>
      <c r="D302" s="399" t="s">
        <v>1821</v>
      </c>
      <c r="E302" s="399" t="s">
        <v>887</v>
      </c>
      <c r="F302" s="399" t="s">
        <v>887</v>
      </c>
      <c r="G302" s="399" t="s">
        <v>1237</v>
      </c>
      <c r="H302" s="399" t="s">
        <v>1237</v>
      </c>
      <c r="I302" s="399" t="s">
        <v>1237</v>
      </c>
      <c r="J302" s="399" t="s">
        <v>2353</v>
      </c>
      <c r="K302" s="789">
        <v>44682</v>
      </c>
      <c r="L302" s="399">
        <v>0</v>
      </c>
      <c r="M302" s="399">
        <v>0</v>
      </c>
      <c r="N302" s="399">
        <v>422.15100000000001</v>
      </c>
      <c r="O302" s="399">
        <v>422.15100000000001</v>
      </c>
      <c r="P302" s="399">
        <v>422.15100000000001</v>
      </c>
      <c r="Q302" s="399">
        <v>422.15100000000001</v>
      </c>
      <c r="R302" s="399"/>
      <c r="S302" s="399">
        <v>415.98</v>
      </c>
      <c r="T302" s="399">
        <v>215.17</v>
      </c>
      <c r="U302" s="399"/>
      <c r="V302" s="399">
        <v>266440.60365</v>
      </c>
      <c r="W302" s="399">
        <v>266440.60365</v>
      </c>
      <c r="X302" s="399">
        <v>231566.70954000001</v>
      </c>
      <c r="Y302" s="399">
        <v>0</v>
      </c>
      <c r="Z302" s="399">
        <v>25787.768472059222</v>
      </c>
      <c r="AA302" s="399">
        <v>0</v>
      </c>
      <c r="AB302" s="399">
        <v>0</v>
      </c>
      <c r="AC302" s="399">
        <v>0</v>
      </c>
      <c r="AD302" s="399">
        <v>37704.660317140326</v>
      </c>
      <c r="AE302" s="399">
        <v>106724.20192250458</v>
      </c>
      <c r="AF302" s="399">
        <v>88973.362713302238</v>
      </c>
      <c r="AG302" s="399">
        <v>1860.4086646998953</v>
      </c>
      <c r="AH302" s="399">
        <v>0</v>
      </c>
      <c r="AI302" s="399">
        <v>0</v>
      </c>
      <c r="AJ302" s="399">
        <v>0</v>
      </c>
      <c r="AK302" s="399">
        <v>0</v>
      </c>
      <c r="AL302" s="399">
        <v>3984.8717192186814</v>
      </c>
      <c r="AM302" s="399"/>
      <c r="AN302" s="399">
        <v>497.03952308995792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908.44131935626774</v>
      </c>
      <c r="BH302" s="399">
        <v>0</v>
      </c>
      <c r="BI302" s="399">
        <v>0</v>
      </c>
      <c r="BJ302" s="399">
        <v>0</v>
      </c>
      <c r="BK302" s="399">
        <v>43056.75</v>
      </c>
      <c r="BL302" s="399">
        <v>2808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89881.804032658503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231566.16099999996</v>
      </c>
      <c r="CJ302" s="399">
        <v>-34874.472650000069</v>
      </c>
      <c r="CK302" s="399"/>
      <c r="CL302" s="399"/>
      <c r="CM302" s="399"/>
      <c r="CN302" s="399"/>
      <c r="CO302" s="399">
        <v>-46347.95829000001</v>
      </c>
      <c r="CP302" s="399">
        <v>11474.064180000003</v>
      </c>
      <c r="CQ302" s="399">
        <v>31</v>
      </c>
      <c r="CR302" s="399">
        <v>11952.738554160751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1569.3502335649755</v>
      </c>
      <c r="DA302" s="399">
        <v>0</v>
      </c>
      <c r="DB302" s="399">
        <v>0</v>
      </c>
      <c r="DC302" s="399">
        <v>11473.846805651192</v>
      </c>
      <c r="DD302" s="399">
        <v>0</v>
      </c>
      <c r="DE302" s="399">
        <v>0</v>
      </c>
      <c r="DF302" s="399">
        <v>0</v>
      </c>
      <c r="DG302" s="399">
        <v>117.15097881378938</v>
      </c>
      <c r="DH302" s="399">
        <v>0</v>
      </c>
      <c r="DI302" s="399">
        <v>-1048.5048107830953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-126.70114241521333</v>
      </c>
      <c r="DP302" s="399">
        <v>-32.403510670921207</v>
      </c>
      <c r="DQ302" s="399">
        <v>0</v>
      </c>
      <c r="DR302" s="399">
        <v>0</v>
      </c>
      <c r="DS302" s="399"/>
      <c r="DT302" s="399"/>
      <c r="DU302" s="399"/>
      <c r="DV302" s="399">
        <v>106724.20192250458</v>
      </c>
      <c r="DW302" s="399">
        <v>0</v>
      </c>
      <c r="DX302" s="399">
        <v>0</v>
      </c>
      <c r="DY302" s="399">
        <v>-46347.95829000001</v>
      </c>
      <c r="DZ302" s="399">
        <v>11474.064180000016</v>
      </c>
      <c r="EA302" s="399">
        <v>0</v>
      </c>
      <c r="EB302" s="399">
        <v>0</v>
      </c>
      <c r="EC302" s="399">
        <v>-46827.624225850952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216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302</v>
      </c>
      <c r="B303" s="399" t="s">
        <v>2354</v>
      </c>
      <c r="C303" s="399" t="s">
        <v>2352</v>
      </c>
      <c r="D303" s="399" t="s">
        <v>1821</v>
      </c>
      <c r="E303" s="399" t="s">
        <v>887</v>
      </c>
      <c r="F303" s="399" t="s">
        <v>887</v>
      </c>
      <c r="G303" s="399" t="s">
        <v>1237</v>
      </c>
      <c r="H303" s="399" t="s">
        <v>1237</v>
      </c>
      <c r="I303" s="399" t="s">
        <v>1237</v>
      </c>
      <c r="J303" s="399" t="s">
        <v>2353</v>
      </c>
      <c r="K303" s="789">
        <v>44682</v>
      </c>
      <c r="L303" s="399">
        <v>0</v>
      </c>
      <c r="M303" s="399">
        <v>0</v>
      </c>
      <c r="N303" s="399">
        <v>-0.97599999999999998</v>
      </c>
      <c r="O303" s="399">
        <v>-0.97599999999999998</v>
      </c>
      <c r="P303" s="399">
        <v>-0.97599999999999998</v>
      </c>
      <c r="Q303" s="399">
        <v>-0.97599999999999998</v>
      </c>
      <c r="R303" s="399"/>
      <c r="S303" s="399">
        <v>415.98</v>
      </c>
      <c r="T303" s="399">
        <v>215.17</v>
      </c>
      <c r="U303" s="399"/>
      <c r="V303" s="399">
        <v>-616.00239999999997</v>
      </c>
      <c r="W303" s="399">
        <v>-616.00239999999997</v>
      </c>
      <c r="X303" s="399">
        <v>-535.3750399999999</v>
      </c>
      <c r="Y303" s="399">
        <v>0</v>
      </c>
      <c r="Z303" s="399">
        <v>-59.620519739926706</v>
      </c>
      <c r="AA303" s="399">
        <v>0</v>
      </c>
      <c r="AB303" s="399">
        <v>0</v>
      </c>
      <c r="AC303" s="399">
        <v>0</v>
      </c>
      <c r="AD303" s="399">
        <v>-87.1720035473775</v>
      </c>
      <c r="AE303" s="399">
        <v>-246.74303999366214</v>
      </c>
      <c r="AF303" s="399">
        <v>-205.70365108262914</v>
      </c>
      <c r="AG303" s="399">
        <v>-4.3012070485373668</v>
      </c>
      <c r="AH303" s="399">
        <v>0</v>
      </c>
      <c r="AI303" s="399">
        <v>0</v>
      </c>
      <c r="AJ303" s="399">
        <v>0</v>
      </c>
      <c r="AK303" s="399">
        <v>0</v>
      </c>
      <c r="AL303" s="399">
        <v>-9.2128996448129516</v>
      </c>
      <c r="AM303" s="399"/>
      <c r="AN303" s="399">
        <v>-1.1491399393482402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-2.1002881141859602</v>
      </c>
      <c r="BH303" s="399">
        <v>0</v>
      </c>
      <c r="BI303" s="399">
        <v>0</v>
      </c>
      <c r="BJ303" s="399">
        <v>0</v>
      </c>
      <c r="BK303" s="399">
        <v>-200.1</v>
      </c>
      <c r="BL303" s="399">
        <v>0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>
        <v>-207.80393919681509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-537.56919999999991</v>
      </c>
      <c r="CJ303" s="399">
        <v>78.403200000000083</v>
      </c>
      <c r="CK303" s="399"/>
      <c r="CL303" s="399"/>
      <c r="CM303" s="399"/>
      <c r="CN303" s="399"/>
      <c r="CO303" s="399">
        <v>107.15504000000001</v>
      </c>
      <c r="CP303" s="399">
        <v>-26.527680000000007</v>
      </c>
      <c r="CQ303" s="399">
        <v>31</v>
      </c>
      <c r="CR303" s="399">
        <v>-27.634360285444927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-3.628288996021368</v>
      </c>
      <c r="DA303" s="399">
        <v>0</v>
      </c>
      <c r="DB303" s="399">
        <v>0</v>
      </c>
      <c r="DC303" s="399">
        <v>-26.527177437257222</v>
      </c>
      <c r="DD303" s="399">
        <v>0</v>
      </c>
      <c r="DE303" s="399">
        <v>0</v>
      </c>
      <c r="DF303" s="399">
        <v>0</v>
      </c>
      <c r="DG303" s="399">
        <v>-0.270849424310871</v>
      </c>
      <c r="DH303" s="399">
        <v>0</v>
      </c>
      <c r="DI303" s="399">
        <v>2.4241105559960801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0.29292910592950783</v>
      </c>
      <c r="DP303" s="399">
        <v>7.4915910218900761E-2</v>
      </c>
      <c r="DQ303" s="399">
        <v>0</v>
      </c>
      <c r="DR303" s="399">
        <v>0</v>
      </c>
      <c r="DS303" s="399"/>
      <c r="DT303" s="399"/>
      <c r="DU303" s="399"/>
      <c r="DV303" s="399">
        <v>-246.74303999366214</v>
      </c>
      <c r="DW303" s="399">
        <v>0</v>
      </c>
      <c r="DX303" s="399">
        <v>0</v>
      </c>
      <c r="DY303" s="399">
        <v>107.15504000000004</v>
      </c>
      <c r="DZ303" s="399">
        <v>-26.527680000000004</v>
      </c>
      <c r="EA303" s="399">
        <v>0</v>
      </c>
      <c r="EB303" s="399">
        <v>0</v>
      </c>
      <c r="EC303" s="399">
        <v>108.26401274527484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216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303</v>
      </c>
      <c r="B304" s="399" t="s">
        <v>2355</v>
      </c>
      <c r="C304" s="399" t="s">
        <v>2352</v>
      </c>
      <c r="D304" s="399" t="s">
        <v>1821</v>
      </c>
      <c r="E304" s="399" t="s">
        <v>887</v>
      </c>
      <c r="F304" s="399" t="s">
        <v>887</v>
      </c>
      <c r="G304" s="399" t="s">
        <v>1237</v>
      </c>
      <c r="H304" s="399" t="s">
        <v>1237</v>
      </c>
      <c r="I304" s="399" t="s">
        <v>1237</v>
      </c>
      <c r="J304" s="399" t="s">
        <v>2353</v>
      </c>
      <c r="K304" s="789">
        <v>44682</v>
      </c>
      <c r="L304" s="399">
        <v>0</v>
      </c>
      <c r="M304" s="399">
        <v>0</v>
      </c>
      <c r="N304" s="399">
        <v>2.1309999999999998</v>
      </c>
      <c r="O304" s="399">
        <v>2.1309999999999998</v>
      </c>
      <c r="P304" s="399">
        <v>2.1309999999999998</v>
      </c>
      <c r="Q304" s="399">
        <v>2.1309999999999998</v>
      </c>
      <c r="R304" s="399"/>
      <c r="S304" s="399">
        <v>415.98</v>
      </c>
      <c r="T304" s="399">
        <v>215.17</v>
      </c>
      <c r="U304" s="399"/>
      <c r="V304" s="399">
        <v>1344.98065</v>
      </c>
      <c r="W304" s="399">
        <v>1344.98065</v>
      </c>
      <c r="X304" s="399">
        <v>1168.9387399999998</v>
      </c>
      <c r="Y304" s="399">
        <v>0</v>
      </c>
      <c r="Z304" s="399">
        <v>130.17554053871291</v>
      </c>
      <c r="AA304" s="399">
        <v>0</v>
      </c>
      <c r="AB304" s="399">
        <v>0</v>
      </c>
      <c r="AC304" s="399">
        <v>0</v>
      </c>
      <c r="AD304" s="399">
        <v>190.33149545026788</v>
      </c>
      <c r="AE304" s="399">
        <v>538.73915801894873</v>
      </c>
      <c r="AF304" s="399">
        <v>449.1336889929126</v>
      </c>
      <c r="AG304" s="399">
        <v>9.391262520935582</v>
      </c>
      <c r="AH304" s="399">
        <v>0</v>
      </c>
      <c r="AI304" s="399">
        <v>0</v>
      </c>
      <c r="AJ304" s="399">
        <v>0</v>
      </c>
      <c r="AK304" s="399">
        <v>0</v>
      </c>
      <c r="AL304" s="399">
        <v>20.115460187598771</v>
      </c>
      <c r="AM304" s="399"/>
      <c r="AN304" s="399">
        <v>2.5090340274089136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4.5857725116088943</v>
      </c>
      <c r="BH304" s="399">
        <v>0</v>
      </c>
      <c r="BI304" s="399">
        <v>0</v>
      </c>
      <c r="BJ304" s="399">
        <v>0</v>
      </c>
      <c r="BK304" s="399">
        <v>680.92</v>
      </c>
      <c r="BL304" s="399">
        <v>20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>
        <v>453.71946150452152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1168.3901999999998</v>
      </c>
      <c r="CJ304" s="399">
        <v>-176.62045000000012</v>
      </c>
      <c r="CK304" s="399"/>
      <c r="CL304" s="399"/>
      <c r="CM304" s="399"/>
      <c r="CN304" s="399"/>
      <c r="CO304" s="399">
        <v>-233.96249000000003</v>
      </c>
      <c r="CP304" s="399">
        <v>57.920580000000008</v>
      </c>
      <c r="CQ304" s="399">
        <v>31</v>
      </c>
      <c r="CR304" s="399">
        <v>60.336907549470425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7.9220121419277802</v>
      </c>
      <c r="DA304" s="399">
        <v>0</v>
      </c>
      <c r="DB304" s="399">
        <v>0</v>
      </c>
      <c r="DC304" s="399">
        <v>57.919482703683514</v>
      </c>
      <c r="DD304" s="399">
        <v>0</v>
      </c>
      <c r="DE304" s="399">
        <v>0</v>
      </c>
      <c r="DF304" s="399">
        <v>0</v>
      </c>
      <c r="DG304" s="399">
        <v>0.59137307705580522</v>
      </c>
      <c r="DH304" s="399">
        <v>0</v>
      </c>
      <c r="DI304" s="399">
        <v>-5.2928069619135698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-0.63958189009813893</v>
      </c>
      <c r="DP304" s="399">
        <v>-0.16357152118491536</v>
      </c>
      <c r="DQ304" s="399">
        <v>0</v>
      </c>
      <c r="DR304" s="399">
        <v>0</v>
      </c>
      <c r="DS304" s="399"/>
      <c r="DT304" s="399"/>
      <c r="DU304" s="399"/>
      <c r="DV304" s="399">
        <v>538.73915801894873</v>
      </c>
      <c r="DW304" s="399">
        <v>0</v>
      </c>
      <c r="DX304" s="399">
        <v>0</v>
      </c>
      <c r="DY304" s="399">
        <v>-233.96249</v>
      </c>
      <c r="DZ304" s="399">
        <v>57.920579999999973</v>
      </c>
      <c r="EA304" s="399">
        <v>0</v>
      </c>
      <c r="EB304" s="399">
        <v>0</v>
      </c>
      <c r="EC304" s="399">
        <v>-236.38382291002119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216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304</v>
      </c>
      <c r="B305" s="399" t="s">
        <v>954</v>
      </c>
      <c r="C305" s="399" t="s">
        <v>2352</v>
      </c>
      <c r="D305" s="399" t="s">
        <v>1821</v>
      </c>
      <c r="E305" s="399" t="s">
        <v>887</v>
      </c>
      <c r="F305" s="399" t="s">
        <v>2356</v>
      </c>
      <c r="G305" s="399" t="s">
        <v>1237</v>
      </c>
      <c r="H305" s="399" t="s">
        <v>1237</v>
      </c>
      <c r="I305" s="399" t="s">
        <v>1237</v>
      </c>
      <c r="J305" s="399" t="s">
        <v>2353</v>
      </c>
      <c r="K305" s="789">
        <v>44682</v>
      </c>
      <c r="L305" s="399">
        <v>0</v>
      </c>
      <c r="M305" s="399">
        <v>0</v>
      </c>
      <c r="N305" s="399">
        <v>8.2799999999999994</v>
      </c>
      <c r="O305" s="399">
        <v>8.2799999999999994</v>
      </c>
      <c r="P305" s="399">
        <v>8.2799999999999994</v>
      </c>
      <c r="Q305" s="399">
        <v>8.2799999999999994</v>
      </c>
      <c r="R305" s="399"/>
      <c r="S305" s="399">
        <v>345.46</v>
      </c>
      <c r="T305" s="399">
        <v>215.17</v>
      </c>
      <c r="U305" s="399"/>
      <c r="V305" s="399">
        <v>4642.0163999999995</v>
      </c>
      <c r="W305" s="399">
        <v>4642.0163999999995</v>
      </c>
      <c r="X305" s="399">
        <v>3981.0239999999994</v>
      </c>
      <c r="Y305" s="399">
        <v>0</v>
      </c>
      <c r="Z305" s="399">
        <v>0</v>
      </c>
      <c r="AA305" s="399">
        <v>0</v>
      </c>
      <c r="AB305" s="399">
        <v>0</v>
      </c>
      <c r="AC305" s="399">
        <v>0</v>
      </c>
      <c r="AD305" s="399">
        <v>739.5329809142271</v>
      </c>
      <c r="AE305" s="399">
        <v>2093.2708720773794</v>
      </c>
      <c r="AF305" s="399">
        <v>1745.1088432009931</v>
      </c>
      <c r="AG305" s="399">
        <v>36.489748321607983</v>
      </c>
      <c r="AH305" s="399">
        <v>0</v>
      </c>
      <c r="AI305" s="399">
        <v>0</v>
      </c>
      <c r="AJ305" s="399">
        <v>0</v>
      </c>
      <c r="AK305" s="399">
        <v>0</v>
      </c>
      <c r="AL305" s="399">
        <v>0</v>
      </c>
      <c r="AM305" s="399"/>
      <c r="AN305" s="399">
        <v>9.7488511247985947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17.818018017889088</v>
      </c>
      <c r="BH305" s="399">
        <v>0</v>
      </c>
      <c r="BI305" s="399">
        <v>0</v>
      </c>
      <c r="BJ305" s="399">
        <v>0</v>
      </c>
      <c r="BK305" s="399">
        <v>187.69</v>
      </c>
      <c r="BL305" s="399">
        <v>13</v>
      </c>
      <c r="BM305" s="399"/>
      <c r="BN305" s="399"/>
      <c r="BO305" s="399"/>
      <c r="BP305" s="399"/>
      <c r="BQ305" s="399"/>
      <c r="BR305" s="399"/>
      <c r="BS305" s="399"/>
      <c r="BT305" s="399">
        <v>2587.6655999999998</v>
      </c>
      <c r="BU305" s="399"/>
      <c r="BV305" s="399">
        <v>1762.9268612188821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1393.3583999999998</v>
      </c>
      <c r="CJ305" s="399">
        <v>-231.3732</v>
      </c>
      <c r="CK305" s="399"/>
      <c r="CL305" s="399"/>
      <c r="CM305" s="399"/>
      <c r="CN305" s="399"/>
      <c r="CO305" s="399">
        <v>-886.04279999999983</v>
      </c>
      <c r="CP305" s="399">
        <v>225.05040000000005</v>
      </c>
      <c r="CQ305" s="399">
        <v>31</v>
      </c>
      <c r="CR305" s="399">
        <v>257.48933561908643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30.780976318705825</v>
      </c>
      <c r="DA305" s="399">
        <v>0</v>
      </c>
      <c r="DB305" s="399">
        <v>0</v>
      </c>
      <c r="DC305" s="399">
        <v>225.04613645541986</v>
      </c>
      <c r="DD305" s="399">
        <v>0</v>
      </c>
      <c r="DE305" s="399">
        <v>0</v>
      </c>
      <c r="DF305" s="399">
        <v>0</v>
      </c>
      <c r="DG305" s="399">
        <v>2.297779952145504</v>
      </c>
      <c r="DH305" s="399">
        <v>0</v>
      </c>
      <c r="DI305" s="399">
        <v>0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0</v>
      </c>
      <c r="DP305" s="399">
        <v>-0.63555710718493508</v>
      </c>
      <c r="DQ305" s="399">
        <v>0</v>
      </c>
      <c r="DR305" s="399">
        <v>0</v>
      </c>
      <c r="DS305" s="399"/>
      <c r="DT305" s="399"/>
      <c r="DU305" s="399"/>
      <c r="DV305" s="399">
        <v>2093.2708720773794</v>
      </c>
      <c r="DW305" s="399">
        <v>0</v>
      </c>
      <c r="DX305" s="399">
        <v>0</v>
      </c>
      <c r="DY305" s="399">
        <v>-886.04279999999994</v>
      </c>
      <c r="DZ305" s="399">
        <v>225.05040000000008</v>
      </c>
      <c r="EA305" s="399">
        <v>0</v>
      </c>
      <c r="EB305" s="399">
        <v>0</v>
      </c>
      <c r="EC305" s="399">
        <v>-918.46928845376601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216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305</v>
      </c>
      <c r="B306" s="399" t="s">
        <v>954</v>
      </c>
      <c r="C306" s="399" t="s">
        <v>2352</v>
      </c>
      <c r="D306" s="399" t="s">
        <v>1821</v>
      </c>
      <c r="E306" s="399" t="s">
        <v>887</v>
      </c>
      <c r="F306" s="399" t="s">
        <v>2357</v>
      </c>
      <c r="G306" s="399" t="s">
        <v>1237</v>
      </c>
      <c r="H306" s="399" t="s">
        <v>1237</v>
      </c>
      <c r="I306" s="399" t="s">
        <v>1237</v>
      </c>
      <c r="J306" s="399" t="s">
        <v>2353</v>
      </c>
      <c r="K306" s="789">
        <v>44682</v>
      </c>
      <c r="L306" s="399">
        <v>0</v>
      </c>
      <c r="M306" s="399">
        <v>0</v>
      </c>
      <c r="N306" s="399">
        <v>16.388000000000002</v>
      </c>
      <c r="O306" s="399">
        <v>16.388000000000002</v>
      </c>
      <c r="P306" s="399">
        <v>16.388000000000002</v>
      </c>
      <c r="Q306" s="399">
        <v>16.388000000000002</v>
      </c>
      <c r="R306" s="399"/>
      <c r="S306" s="399">
        <v>345.46</v>
      </c>
      <c r="T306" s="399">
        <v>215.17</v>
      </c>
      <c r="U306" s="399"/>
      <c r="V306" s="399">
        <v>9187.6044399999992</v>
      </c>
      <c r="W306" s="399">
        <v>9187.6044399999992</v>
      </c>
      <c r="X306" s="399">
        <v>7879.3504000000003</v>
      </c>
      <c r="Y306" s="399">
        <v>0</v>
      </c>
      <c r="Z306" s="399">
        <v>0</v>
      </c>
      <c r="AA306" s="399">
        <v>0</v>
      </c>
      <c r="AB306" s="399">
        <v>0</v>
      </c>
      <c r="AC306" s="399">
        <v>0</v>
      </c>
      <c r="AD306" s="399">
        <v>1463.7036825147773</v>
      </c>
      <c r="AE306" s="399">
        <v>4143.0583395657131</v>
      </c>
      <c r="AF306" s="399">
        <v>3453.9666331374251</v>
      </c>
      <c r="AG306" s="399">
        <v>72.221497040399967</v>
      </c>
      <c r="AH306" s="399">
        <v>0</v>
      </c>
      <c r="AI306" s="399">
        <v>0</v>
      </c>
      <c r="AJ306" s="399">
        <v>0</v>
      </c>
      <c r="AK306" s="399">
        <v>0</v>
      </c>
      <c r="AL306" s="399">
        <v>0</v>
      </c>
      <c r="AM306" s="399"/>
      <c r="AN306" s="399">
        <v>19.295189883236642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35.265903294343772</v>
      </c>
      <c r="BH306" s="399">
        <v>0</v>
      </c>
      <c r="BI306" s="399">
        <v>0</v>
      </c>
      <c r="BJ306" s="399">
        <v>0</v>
      </c>
      <c r="BK306" s="399">
        <v>644</v>
      </c>
      <c r="BL306" s="399">
        <v>74</v>
      </c>
      <c r="BM306" s="399"/>
      <c r="BN306" s="399"/>
      <c r="BO306" s="399"/>
      <c r="BP306" s="399"/>
      <c r="BQ306" s="399"/>
      <c r="BR306" s="399"/>
      <c r="BS306" s="399"/>
      <c r="BT306" s="399">
        <v>3151.7401600000003</v>
      </c>
      <c r="BU306" s="399"/>
      <c r="BV306" s="399">
        <v>3489.2325364317689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4728.1872000000003</v>
      </c>
      <c r="CJ306" s="399">
        <v>-784.27436000000125</v>
      </c>
      <c r="CK306" s="399"/>
      <c r="CL306" s="399"/>
      <c r="CM306" s="399"/>
      <c r="CN306" s="399"/>
      <c r="CO306" s="399">
        <v>-1753.6798800000001</v>
      </c>
      <c r="CP306" s="399">
        <v>445.42584000000016</v>
      </c>
      <c r="CQ306" s="399">
        <v>31</v>
      </c>
      <c r="CR306" s="399">
        <v>509.62985895236397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60.922541052047336</v>
      </c>
      <c r="DA306" s="399">
        <v>0</v>
      </c>
      <c r="DB306" s="399">
        <v>0</v>
      </c>
      <c r="DC306" s="399">
        <v>445.41740147722476</v>
      </c>
      <c r="DD306" s="399">
        <v>0</v>
      </c>
      <c r="DE306" s="399">
        <v>0</v>
      </c>
      <c r="DF306" s="399">
        <v>0</v>
      </c>
      <c r="DG306" s="399">
        <v>4.547828243449338</v>
      </c>
      <c r="DH306" s="399">
        <v>0</v>
      </c>
      <c r="DI306" s="399">
        <v>0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0</v>
      </c>
      <c r="DP306" s="399">
        <v>-1.2579118203558863</v>
      </c>
      <c r="DQ306" s="399">
        <v>0</v>
      </c>
      <c r="DR306" s="399">
        <v>0</v>
      </c>
      <c r="DS306" s="399"/>
      <c r="DT306" s="399"/>
      <c r="DU306" s="399"/>
      <c r="DV306" s="399">
        <v>4143.0583395657131</v>
      </c>
      <c r="DW306" s="399">
        <v>0</v>
      </c>
      <c r="DX306" s="399">
        <v>0</v>
      </c>
      <c r="DY306" s="399">
        <v>-1753.6798799999997</v>
      </c>
      <c r="DZ306" s="399">
        <v>445.42583999999988</v>
      </c>
      <c r="EA306" s="399">
        <v>0</v>
      </c>
      <c r="EB306" s="399">
        <v>0</v>
      </c>
      <c r="EC306" s="399">
        <v>-1817.8592631860297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216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306</v>
      </c>
      <c r="B307" s="399" t="s">
        <v>954</v>
      </c>
      <c r="C307" s="399" t="s">
        <v>2352</v>
      </c>
      <c r="D307" s="399" t="s">
        <v>1821</v>
      </c>
      <c r="E307" s="399" t="s">
        <v>887</v>
      </c>
      <c r="F307" s="399" t="s">
        <v>2358</v>
      </c>
      <c r="G307" s="399" t="s">
        <v>1237</v>
      </c>
      <c r="H307" s="399" t="s">
        <v>1237</v>
      </c>
      <c r="I307" s="399" t="s">
        <v>1237</v>
      </c>
      <c r="J307" s="399" t="s">
        <v>2353</v>
      </c>
      <c r="K307" s="789">
        <v>44682</v>
      </c>
      <c r="L307" s="399">
        <v>0</v>
      </c>
      <c r="M307" s="399">
        <v>0</v>
      </c>
      <c r="N307" s="399">
        <v>12.88</v>
      </c>
      <c r="O307" s="399">
        <v>12.88</v>
      </c>
      <c r="P307" s="399">
        <v>12.88</v>
      </c>
      <c r="Q307" s="399">
        <v>12.88</v>
      </c>
      <c r="R307" s="399"/>
      <c r="S307" s="399">
        <v>345.46</v>
      </c>
      <c r="T307" s="399">
        <v>215.17</v>
      </c>
      <c r="U307" s="399"/>
      <c r="V307" s="399">
        <v>7220.9143999999997</v>
      </c>
      <c r="W307" s="399">
        <v>7220.9143999999997</v>
      </c>
      <c r="X307" s="399">
        <v>6192.7039999999997</v>
      </c>
      <c r="Y307" s="399">
        <v>0</v>
      </c>
      <c r="Z307" s="399">
        <v>0</v>
      </c>
      <c r="AA307" s="399">
        <v>0</v>
      </c>
      <c r="AB307" s="399">
        <v>0</v>
      </c>
      <c r="AC307" s="399">
        <v>0</v>
      </c>
      <c r="AD307" s="399">
        <v>1150.3846369776868</v>
      </c>
      <c r="AE307" s="399">
        <v>3256.1991343425907</v>
      </c>
      <c r="AF307" s="399">
        <v>2714.613756090434</v>
      </c>
      <c r="AG307" s="399">
        <v>56.761830722501315</v>
      </c>
      <c r="AH307" s="399">
        <v>0</v>
      </c>
      <c r="AI307" s="399">
        <v>0</v>
      </c>
      <c r="AJ307" s="399">
        <v>0</v>
      </c>
      <c r="AK307" s="399">
        <v>0</v>
      </c>
      <c r="AL307" s="399">
        <v>0</v>
      </c>
      <c r="AM307" s="399"/>
      <c r="AN307" s="399">
        <v>15.164879527464482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27.716916916716361</v>
      </c>
      <c r="BH307" s="399">
        <v>0</v>
      </c>
      <c r="BI307" s="399">
        <v>0</v>
      </c>
      <c r="BJ307" s="399">
        <v>0</v>
      </c>
      <c r="BK307" s="399">
        <v>1203.73</v>
      </c>
      <c r="BL307" s="399">
        <v>152</v>
      </c>
      <c r="BM307" s="399"/>
      <c r="BN307" s="399"/>
      <c r="BO307" s="399"/>
      <c r="BP307" s="399"/>
      <c r="BQ307" s="399"/>
      <c r="BR307" s="399"/>
      <c r="BS307" s="399"/>
      <c r="BT307" s="399">
        <v>619.39919999999972</v>
      </c>
      <c r="BU307" s="399"/>
      <c r="BV307" s="399">
        <v>2742.3306730071504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5573.3048000000008</v>
      </c>
      <c r="CJ307" s="399">
        <v>-925.45800000000145</v>
      </c>
      <c r="CK307" s="399"/>
      <c r="CL307" s="399"/>
      <c r="CM307" s="399"/>
      <c r="CN307" s="399"/>
      <c r="CO307" s="399">
        <v>-1378.2888</v>
      </c>
      <c r="CP307" s="399">
        <v>350.0784000000001</v>
      </c>
      <c r="CQ307" s="399">
        <v>31</v>
      </c>
      <c r="CR307" s="399">
        <v>400.53896651857804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47.881518717986864</v>
      </c>
      <c r="DA307" s="399">
        <v>0</v>
      </c>
      <c r="DB307" s="399">
        <v>0</v>
      </c>
      <c r="DC307" s="399">
        <v>350.07176781954195</v>
      </c>
      <c r="DD307" s="399">
        <v>0</v>
      </c>
      <c r="DE307" s="399">
        <v>0</v>
      </c>
      <c r="DF307" s="399">
        <v>0</v>
      </c>
      <c r="DG307" s="399">
        <v>3.574324370004117</v>
      </c>
      <c r="DH307" s="399">
        <v>0</v>
      </c>
      <c r="DI307" s="399">
        <v>0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0</v>
      </c>
      <c r="DP307" s="399">
        <v>-0.98864438895434326</v>
      </c>
      <c r="DQ307" s="399">
        <v>0</v>
      </c>
      <c r="DR307" s="399">
        <v>0</v>
      </c>
      <c r="DS307" s="399"/>
      <c r="DT307" s="399"/>
      <c r="DU307" s="399"/>
      <c r="DV307" s="399">
        <v>3256.1991343425907</v>
      </c>
      <c r="DW307" s="399">
        <v>0</v>
      </c>
      <c r="DX307" s="399">
        <v>0</v>
      </c>
      <c r="DY307" s="399">
        <v>-1378.2888000000003</v>
      </c>
      <c r="DZ307" s="399">
        <v>350.07840000000033</v>
      </c>
      <c r="EA307" s="399">
        <v>0</v>
      </c>
      <c r="EB307" s="399">
        <v>0</v>
      </c>
      <c r="EC307" s="399">
        <v>-1428.730004261414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216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307</v>
      </c>
      <c r="B308" s="399" t="s">
        <v>954</v>
      </c>
      <c r="C308" s="399" t="s">
        <v>2352</v>
      </c>
      <c r="D308" s="399" t="s">
        <v>1821</v>
      </c>
      <c r="E308" s="399" t="s">
        <v>887</v>
      </c>
      <c r="F308" s="399" t="s">
        <v>2359</v>
      </c>
      <c r="G308" s="399" t="s">
        <v>1237</v>
      </c>
      <c r="H308" s="399" t="s">
        <v>1237</v>
      </c>
      <c r="I308" s="399" t="s">
        <v>1237</v>
      </c>
      <c r="J308" s="399" t="s">
        <v>2353</v>
      </c>
      <c r="K308" s="789">
        <v>44682</v>
      </c>
      <c r="L308" s="399">
        <v>0</v>
      </c>
      <c r="M308" s="399">
        <v>0</v>
      </c>
      <c r="N308" s="399">
        <v>2.4380000000000002</v>
      </c>
      <c r="O308" s="399">
        <v>2.4380000000000002</v>
      </c>
      <c r="P308" s="399">
        <v>2.4380000000000002</v>
      </c>
      <c r="Q308" s="399">
        <v>2.4380000000000002</v>
      </c>
      <c r="R308" s="399"/>
      <c r="S308" s="399">
        <v>345.46</v>
      </c>
      <c r="T308" s="399">
        <v>215.17</v>
      </c>
      <c r="U308" s="399"/>
      <c r="V308" s="399">
        <v>1366.81594</v>
      </c>
      <c r="W308" s="399">
        <v>1366.81594</v>
      </c>
      <c r="X308" s="399">
        <v>1172.1904</v>
      </c>
      <c r="Y308" s="399">
        <v>0</v>
      </c>
      <c r="Z308" s="399">
        <v>0</v>
      </c>
      <c r="AA308" s="399">
        <v>0</v>
      </c>
      <c r="AB308" s="399">
        <v>0</v>
      </c>
      <c r="AC308" s="399">
        <v>0</v>
      </c>
      <c r="AD308" s="399">
        <v>217.75137771363359</v>
      </c>
      <c r="AE308" s="399">
        <v>616.35197900056187</v>
      </c>
      <c r="AF308" s="399">
        <v>513.83760383140361</v>
      </c>
      <c r="AG308" s="399">
        <v>10.744203672473464</v>
      </c>
      <c r="AH308" s="399">
        <v>0</v>
      </c>
      <c r="AI308" s="399">
        <v>0</v>
      </c>
      <c r="AJ308" s="399">
        <v>0</v>
      </c>
      <c r="AK308" s="399">
        <v>0</v>
      </c>
      <c r="AL308" s="399">
        <v>0</v>
      </c>
      <c r="AM308" s="399"/>
      <c r="AN308" s="399">
        <v>2.8704950534129199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5.2464164163784544</v>
      </c>
      <c r="BH308" s="399">
        <v>0</v>
      </c>
      <c r="BI308" s="399">
        <v>0</v>
      </c>
      <c r="BJ308" s="399">
        <v>0</v>
      </c>
      <c r="BK308" s="399">
        <v>390.69</v>
      </c>
      <c r="BL308" s="399">
        <v>37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519.08402024778206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1173.152</v>
      </c>
      <c r="CJ308" s="399">
        <v>-193.69393999999988</v>
      </c>
      <c r="CK308" s="399"/>
      <c r="CL308" s="399"/>
      <c r="CM308" s="399"/>
      <c r="CN308" s="399"/>
      <c r="CO308" s="399">
        <v>-260.89037999999999</v>
      </c>
      <c r="CP308" s="399">
        <v>66.264840000000021</v>
      </c>
      <c r="CQ308" s="399">
        <v>31</v>
      </c>
      <c r="CR308" s="399">
        <v>75.816304376730841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9.0632874716189349</v>
      </c>
      <c r="DA308" s="399">
        <v>0</v>
      </c>
      <c r="DB308" s="399">
        <v>0</v>
      </c>
      <c r="DC308" s="399">
        <v>66.263584622984695</v>
      </c>
      <c r="DD308" s="399">
        <v>0</v>
      </c>
      <c r="DE308" s="399">
        <v>0</v>
      </c>
      <c r="DF308" s="399">
        <v>0</v>
      </c>
      <c r="DG308" s="399">
        <v>0.67656854146506529</v>
      </c>
      <c r="DH308" s="399">
        <v>0</v>
      </c>
      <c r="DI308" s="399">
        <v>0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0</v>
      </c>
      <c r="DP308" s="399">
        <v>-0.18713625933778655</v>
      </c>
      <c r="DQ308" s="399">
        <v>0</v>
      </c>
      <c r="DR308" s="399">
        <v>0</v>
      </c>
      <c r="DS308" s="399"/>
      <c r="DT308" s="399"/>
      <c r="DU308" s="399"/>
      <c r="DV308" s="399">
        <v>616.35197900056187</v>
      </c>
      <c r="DW308" s="399">
        <v>0</v>
      </c>
      <c r="DX308" s="399">
        <v>0</v>
      </c>
      <c r="DY308" s="399">
        <v>-260.89038000000005</v>
      </c>
      <c r="DZ308" s="399">
        <v>66.264839999999936</v>
      </c>
      <c r="EA308" s="399">
        <v>0</v>
      </c>
      <c r="EB308" s="399">
        <v>0</v>
      </c>
      <c r="EC308" s="399">
        <v>-270.43817937805341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216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308</v>
      </c>
      <c r="B309" s="399" t="s">
        <v>954</v>
      </c>
      <c r="C309" s="399" t="s">
        <v>2352</v>
      </c>
      <c r="D309" s="399" t="s">
        <v>1824</v>
      </c>
      <c r="E309" s="399" t="s">
        <v>888</v>
      </c>
      <c r="F309" s="399" t="s">
        <v>1237</v>
      </c>
      <c r="G309" s="399" t="s">
        <v>1237</v>
      </c>
      <c r="H309" s="399" t="s">
        <v>1237</v>
      </c>
      <c r="I309" s="399" t="s">
        <v>1237</v>
      </c>
      <c r="J309" s="399" t="s">
        <v>2353</v>
      </c>
      <c r="K309" s="789">
        <v>44682</v>
      </c>
      <c r="L309" s="399">
        <v>0</v>
      </c>
      <c r="M309" s="399">
        <v>0</v>
      </c>
      <c r="N309" s="399">
        <v>22.984999999999999</v>
      </c>
      <c r="O309" s="399">
        <v>22.984999999999999</v>
      </c>
      <c r="P309" s="399">
        <v>22.984999999999999</v>
      </c>
      <c r="Q309" s="399">
        <v>22.984999999999999</v>
      </c>
      <c r="R309" s="399"/>
      <c r="S309" s="399">
        <v>415.98</v>
      </c>
      <c r="T309" s="399">
        <v>215.17</v>
      </c>
      <c r="U309" s="399"/>
      <c r="V309" s="399">
        <v>14506.982749999999</v>
      </c>
      <c r="W309" s="399">
        <v>14506.982749999999</v>
      </c>
      <c r="X309" s="399">
        <v>12608.1919</v>
      </c>
      <c r="Y309" s="399">
        <v>0</v>
      </c>
      <c r="Z309" s="399">
        <v>1404.0754571948928</v>
      </c>
      <c r="AA309" s="399">
        <v>0</v>
      </c>
      <c r="AB309" s="399">
        <v>0</v>
      </c>
      <c r="AC309" s="399">
        <v>0</v>
      </c>
      <c r="AD309" s="399">
        <v>2052.9185466562212</v>
      </c>
      <c r="AE309" s="399">
        <v>5810.8491539491024</v>
      </c>
      <c r="AF309" s="399">
        <v>4844.3631353834335</v>
      </c>
      <c r="AG309" s="399">
        <v>101.29430738794197</v>
      </c>
      <c r="AH309" s="399">
        <v>0</v>
      </c>
      <c r="AI309" s="399">
        <v>0</v>
      </c>
      <c r="AJ309" s="399">
        <v>0</v>
      </c>
      <c r="AK309" s="399">
        <v>0</v>
      </c>
      <c r="AL309" s="399">
        <v>216.9656745246165</v>
      </c>
      <c r="AM309" s="399"/>
      <c r="AN309" s="399">
        <v>27.062481051146822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49.462215475988003</v>
      </c>
      <c r="BH309" s="399">
        <v>0</v>
      </c>
      <c r="BI309" s="399">
        <v>0</v>
      </c>
      <c r="BJ309" s="399">
        <v>0</v>
      </c>
      <c r="BK309" s="399">
        <v>4221.8100000000004</v>
      </c>
      <c r="BL309" s="399">
        <v>40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4893.8253508594216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12610.934599999999</v>
      </c>
      <c r="CJ309" s="399">
        <v>-1896.0781500000012</v>
      </c>
      <c r="CK309" s="399"/>
      <c r="CL309" s="399"/>
      <c r="CM309" s="399"/>
      <c r="CN309" s="399"/>
      <c r="CO309" s="399">
        <v>-2523.5231500000004</v>
      </c>
      <c r="CP309" s="399">
        <v>624.73230000000012</v>
      </c>
      <c r="CQ309" s="399">
        <v>31</v>
      </c>
      <c r="CR309" s="399">
        <v>650.79484750097618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85.446949358146412</v>
      </c>
      <c r="DA309" s="399">
        <v>0</v>
      </c>
      <c r="DB309" s="399">
        <v>0</v>
      </c>
      <c r="DC309" s="399">
        <v>624.72046454442352</v>
      </c>
      <c r="DD309" s="399">
        <v>0</v>
      </c>
      <c r="DE309" s="399">
        <v>0</v>
      </c>
      <c r="DF309" s="399">
        <v>0</v>
      </c>
      <c r="DG309" s="399">
        <v>6.3785594444522289</v>
      </c>
      <c r="DH309" s="399">
        <v>0</v>
      </c>
      <c r="DI309" s="399">
        <v>-57.088300337674127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-6.8985404710960552</v>
      </c>
      <c r="DP309" s="399">
        <v>-1.7642850372760535</v>
      </c>
      <c r="DQ309" s="399">
        <v>0</v>
      </c>
      <c r="DR309" s="399">
        <v>0</v>
      </c>
      <c r="DS309" s="399"/>
      <c r="DT309" s="399"/>
      <c r="DU309" s="399"/>
      <c r="DV309" s="399">
        <v>5810.8491539491024</v>
      </c>
      <c r="DW309" s="399">
        <v>0</v>
      </c>
      <c r="DX309" s="399">
        <v>0</v>
      </c>
      <c r="DY309" s="399">
        <v>-2523.5231500000009</v>
      </c>
      <c r="DZ309" s="399">
        <v>624.73230000000058</v>
      </c>
      <c r="EA309" s="399">
        <v>0</v>
      </c>
      <c r="EB309" s="399">
        <v>0</v>
      </c>
      <c r="EC309" s="399">
        <v>-2549.6396853997358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216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309</v>
      </c>
      <c r="B310" s="399" t="s">
        <v>2355</v>
      </c>
      <c r="C310" s="399" t="s">
        <v>2352</v>
      </c>
      <c r="D310" s="399" t="s">
        <v>1824</v>
      </c>
      <c r="E310" s="399" t="s">
        <v>888</v>
      </c>
      <c r="F310" s="399" t="s">
        <v>1237</v>
      </c>
      <c r="G310" s="399" t="s">
        <v>1237</v>
      </c>
      <c r="H310" s="399" t="s">
        <v>1237</v>
      </c>
      <c r="I310" s="399" t="s">
        <v>1237</v>
      </c>
      <c r="J310" s="399" t="s">
        <v>2353</v>
      </c>
      <c r="K310" s="789">
        <v>44682</v>
      </c>
      <c r="L310" s="399">
        <v>0</v>
      </c>
      <c r="M310" s="399">
        <v>0</v>
      </c>
      <c r="N310" s="399">
        <v>2.2599999999999998</v>
      </c>
      <c r="O310" s="399">
        <v>2.2599999999999998</v>
      </c>
      <c r="P310" s="399">
        <v>2.2599999999999998</v>
      </c>
      <c r="Q310" s="399">
        <v>2.2599999999999998</v>
      </c>
      <c r="R310" s="399"/>
      <c r="S310" s="399">
        <v>415.98</v>
      </c>
      <c r="T310" s="399">
        <v>215.17</v>
      </c>
      <c r="U310" s="399"/>
      <c r="V310" s="399">
        <v>1426.3989999999999</v>
      </c>
      <c r="W310" s="399">
        <v>1426.3989999999999</v>
      </c>
      <c r="X310" s="399">
        <v>1239.7003999999997</v>
      </c>
      <c r="Y310" s="399">
        <v>0</v>
      </c>
      <c r="Z310" s="399">
        <v>138.05571169286307</v>
      </c>
      <c r="AA310" s="399">
        <v>0</v>
      </c>
      <c r="AB310" s="399">
        <v>0</v>
      </c>
      <c r="AC310" s="399">
        <v>0</v>
      </c>
      <c r="AD310" s="399">
        <v>201.85320493552575</v>
      </c>
      <c r="AE310" s="399">
        <v>571.35171146073401</v>
      </c>
      <c r="AF310" s="399">
        <v>476.32197894133384</v>
      </c>
      <c r="AG310" s="399">
        <v>9.9597622230475906</v>
      </c>
      <c r="AH310" s="399">
        <v>0</v>
      </c>
      <c r="AI310" s="399">
        <v>0</v>
      </c>
      <c r="AJ310" s="399">
        <v>0</v>
      </c>
      <c r="AK310" s="399">
        <v>0</v>
      </c>
      <c r="AL310" s="399">
        <v>21.33314876770212</v>
      </c>
      <c r="AM310" s="399"/>
      <c r="AN310" s="399">
        <v>2.6609183021793266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4.8633720676847023</v>
      </c>
      <c r="BH310" s="399">
        <v>0</v>
      </c>
      <c r="BI310" s="399">
        <v>0</v>
      </c>
      <c r="BJ310" s="399">
        <v>0</v>
      </c>
      <c r="BK310" s="399">
        <v>934.45</v>
      </c>
      <c r="BL310" s="399">
        <v>3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>
        <v>481.18535100901852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1239.7003999999997</v>
      </c>
      <c r="CJ310" s="399">
        <v>-186.72860000000014</v>
      </c>
      <c r="CK310" s="399"/>
      <c r="CL310" s="399"/>
      <c r="CM310" s="399"/>
      <c r="CN310" s="399"/>
      <c r="CO310" s="399">
        <v>-248.12540000000001</v>
      </c>
      <c r="CP310" s="399">
        <v>61.426800000000007</v>
      </c>
      <c r="CQ310" s="399">
        <v>31</v>
      </c>
      <c r="CR310" s="399">
        <v>63.989399841296745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8.4015708309511297</v>
      </c>
      <c r="DA310" s="399">
        <v>0</v>
      </c>
      <c r="DB310" s="399">
        <v>0</v>
      </c>
      <c r="DC310" s="399">
        <v>61.425636278894842</v>
      </c>
      <c r="DD310" s="399">
        <v>0</v>
      </c>
      <c r="DE310" s="399">
        <v>0</v>
      </c>
      <c r="DF310" s="399">
        <v>0</v>
      </c>
      <c r="DG310" s="399">
        <v>0.62717182268705773</v>
      </c>
      <c r="DH310" s="399">
        <v>0</v>
      </c>
      <c r="DI310" s="399">
        <v>-5.6132068202368259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-0.67829895430398324</v>
      </c>
      <c r="DP310" s="399">
        <v>-0.17347331669540544</v>
      </c>
      <c r="DQ310" s="399">
        <v>0</v>
      </c>
      <c r="DR310" s="399">
        <v>0</v>
      </c>
      <c r="DS310" s="399"/>
      <c r="DT310" s="399"/>
      <c r="DU310" s="399"/>
      <c r="DV310" s="399">
        <v>571.35171146073401</v>
      </c>
      <c r="DW310" s="399">
        <v>0</v>
      </c>
      <c r="DX310" s="399">
        <v>0</v>
      </c>
      <c r="DY310" s="399">
        <v>-248.12540000000001</v>
      </c>
      <c r="DZ310" s="399">
        <v>61.426799999999957</v>
      </c>
      <c r="EA310" s="399">
        <v>0</v>
      </c>
      <c r="EB310" s="399">
        <v>0</v>
      </c>
      <c r="EC310" s="399">
        <v>-250.69330820114874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216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310</v>
      </c>
      <c r="B311" s="399" t="s">
        <v>954</v>
      </c>
      <c r="C311" s="399" t="s">
        <v>2360</v>
      </c>
      <c r="D311" s="399" t="s">
        <v>533</v>
      </c>
      <c r="E311" s="399" t="s">
        <v>888</v>
      </c>
      <c r="F311" s="399" t="s">
        <v>1237</v>
      </c>
      <c r="G311" s="399" t="s">
        <v>1237</v>
      </c>
      <c r="H311" s="399" t="s">
        <v>1237</v>
      </c>
      <c r="I311" s="399" t="s">
        <v>891</v>
      </c>
      <c r="J311" s="399" t="s">
        <v>2353</v>
      </c>
      <c r="K311" s="789">
        <v>44682</v>
      </c>
      <c r="L311" s="399">
        <v>0</v>
      </c>
      <c r="M311" s="399">
        <v>0</v>
      </c>
      <c r="N311" s="399">
        <v>136.83500000000001</v>
      </c>
      <c r="O311" s="399">
        <v>136.83500000000001</v>
      </c>
      <c r="P311" s="399">
        <v>136.83500000000001</v>
      </c>
      <c r="Q311" s="399">
        <v>136.83500000000001</v>
      </c>
      <c r="R311" s="399"/>
      <c r="S311" s="399">
        <v>2184.0300000000002</v>
      </c>
      <c r="T311" s="399">
        <v>215.17</v>
      </c>
      <c r="U311" s="399"/>
      <c r="V311" s="399">
        <v>328294.53200000001</v>
      </c>
      <c r="W311" s="399">
        <v>328294.53200000001</v>
      </c>
      <c r="X311" s="399">
        <v>247724.71565000003</v>
      </c>
      <c r="Y311" s="399">
        <v>0</v>
      </c>
      <c r="Z311" s="399">
        <v>7272.1426456897434</v>
      </c>
      <c r="AA311" s="399">
        <v>0</v>
      </c>
      <c r="AB311" s="399">
        <v>0</v>
      </c>
      <c r="AC311" s="399">
        <v>0</v>
      </c>
      <c r="AD311" s="399">
        <v>90173.480409065189</v>
      </c>
      <c r="AE311" s="399">
        <v>199906.09329046565</v>
      </c>
      <c r="AF311" s="399">
        <v>28839.609729397092</v>
      </c>
      <c r="AG311" s="399">
        <v>603.02834681005186</v>
      </c>
      <c r="AH311" s="399">
        <v>0</v>
      </c>
      <c r="AI311" s="399">
        <v>0</v>
      </c>
      <c r="AJ311" s="399">
        <v>0</v>
      </c>
      <c r="AK311" s="399">
        <v>0</v>
      </c>
      <c r="AL311" s="399">
        <v>1291.6466423135046</v>
      </c>
      <c r="AM311" s="399"/>
      <c r="AN311" s="399">
        <v>94.398723531838016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113.68950743381001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28953.299236830902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247733.76759999999</v>
      </c>
      <c r="CJ311" s="399">
        <v>-80560.794400000043</v>
      </c>
      <c r="CK311" s="399"/>
      <c r="CL311" s="399"/>
      <c r="CM311" s="399"/>
      <c r="CN311" s="399"/>
      <c r="CO311" s="399">
        <v>-84288.99165000004</v>
      </c>
      <c r="CP311" s="399">
        <v>3719.1753000000012</v>
      </c>
      <c r="CQ311" s="399">
        <v>31</v>
      </c>
      <c r="CR311" s="399">
        <v>7144.0822820505273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3753.2170121952076</v>
      </c>
      <c r="DA311" s="399">
        <v>0</v>
      </c>
      <c r="DB311" s="399">
        <v>0</v>
      </c>
      <c r="DC311" s="399">
        <v>3719.1048408064453</v>
      </c>
      <c r="DD311" s="399">
        <v>0</v>
      </c>
      <c r="DE311" s="399">
        <v>0</v>
      </c>
      <c r="DF311" s="399">
        <v>0</v>
      </c>
      <c r="DG311" s="399">
        <v>14.661196923722542</v>
      </c>
      <c r="DH311" s="399">
        <v>0</v>
      </c>
      <c r="DI311" s="399">
        <v>-295.67802878980456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-41.068600624860892</v>
      </c>
      <c r="DP311" s="399">
        <v>-6.1541384601961227</v>
      </c>
      <c r="DQ311" s="399">
        <v>0</v>
      </c>
      <c r="DR311" s="399">
        <v>0</v>
      </c>
      <c r="DS311" s="399"/>
      <c r="DT311" s="399"/>
      <c r="DU311" s="399"/>
      <c r="DV311" s="399">
        <v>199906.09329046565</v>
      </c>
      <c r="DW311" s="399">
        <v>0</v>
      </c>
      <c r="DX311" s="399">
        <v>0</v>
      </c>
      <c r="DY311" s="399">
        <v>-84288.991650000011</v>
      </c>
      <c r="DZ311" s="399">
        <v>3719.1753000000026</v>
      </c>
      <c r="EA311" s="399">
        <v>0</v>
      </c>
      <c r="EB311" s="399">
        <v>0</v>
      </c>
      <c r="EC311" s="399">
        <v>-87713.257615748706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216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311</v>
      </c>
      <c r="B312" s="399" t="s">
        <v>954</v>
      </c>
      <c r="C312" s="399" t="s">
        <v>2360</v>
      </c>
      <c r="D312" s="399" t="s">
        <v>533</v>
      </c>
      <c r="E312" s="399" t="s">
        <v>888</v>
      </c>
      <c r="F312" s="399" t="s">
        <v>1237</v>
      </c>
      <c r="G312" s="399" t="s">
        <v>1237</v>
      </c>
      <c r="H312" s="399" t="s">
        <v>1237</v>
      </c>
      <c r="I312" s="399" t="s">
        <v>2327</v>
      </c>
      <c r="J312" s="399" t="s">
        <v>2353</v>
      </c>
      <c r="K312" s="789">
        <v>44682</v>
      </c>
      <c r="L312" s="399">
        <v>0</v>
      </c>
      <c r="M312" s="399">
        <v>0</v>
      </c>
      <c r="N312" s="399">
        <v>2264.5300000000002</v>
      </c>
      <c r="O312" s="399">
        <v>2264.5300000000002</v>
      </c>
      <c r="P312" s="399">
        <v>2264.5300000000002</v>
      </c>
      <c r="Q312" s="399">
        <v>2264.5300000000002</v>
      </c>
      <c r="R312" s="399"/>
      <c r="S312" s="399">
        <v>64.11</v>
      </c>
      <c r="T312" s="399">
        <v>215.17</v>
      </c>
      <c r="U312" s="399"/>
      <c r="V312" s="399">
        <v>632437.93839999998</v>
      </c>
      <c r="W312" s="399">
        <v>632437.93839999998</v>
      </c>
      <c r="X312" s="399">
        <v>688552.99180000008</v>
      </c>
      <c r="Y312" s="399">
        <v>0</v>
      </c>
      <c r="Z312" s="399">
        <v>120349.21756453974</v>
      </c>
      <c r="AA312" s="399">
        <v>0</v>
      </c>
      <c r="AB312" s="399">
        <v>0</v>
      </c>
      <c r="AC312" s="399">
        <v>0</v>
      </c>
      <c r="AD312" s="399">
        <v>0</v>
      </c>
      <c r="AE312" s="399">
        <v>0</v>
      </c>
      <c r="AF312" s="399">
        <v>477276.73051859246</v>
      </c>
      <c r="AG312" s="399">
        <v>9979.7258172380371</v>
      </c>
      <c r="AH312" s="399">
        <v>0</v>
      </c>
      <c r="AI312" s="399">
        <v>0</v>
      </c>
      <c r="AJ312" s="399">
        <v>0</v>
      </c>
      <c r="AK312" s="399">
        <v>0</v>
      </c>
      <c r="AL312" s="399">
        <v>21375.909459701103</v>
      </c>
      <c r="AM312" s="399"/>
      <c r="AN312" s="399">
        <v>1562.237303318253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1881.4871945707296</v>
      </c>
      <c r="BH312" s="399">
        <v>0</v>
      </c>
      <c r="BI312" s="399">
        <v>0</v>
      </c>
      <c r="BJ312" s="399">
        <v>0</v>
      </c>
      <c r="BK312" s="399">
        <v>0</v>
      </c>
      <c r="BL312" s="399">
        <v>0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>
        <v>479158.21771316318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688552.99180000008</v>
      </c>
      <c r="CJ312" s="399">
        <v>56115.023400000064</v>
      </c>
      <c r="CK312" s="399"/>
      <c r="CL312" s="399"/>
      <c r="CM312" s="399"/>
      <c r="CN312" s="399"/>
      <c r="CO312" s="399">
        <v>-5434.8719999999976</v>
      </c>
      <c r="CP312" s="399">
        <v>61549.925400000022</v>
      </c>
      <c r="CQ312" s="399">
        <v>31</v>
      </c>
      <c r="CR312" s="399">
        <v>56116.608539814013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0</v>
      </c>
      <c r="DA312" s="399">
        <v>0</v>
      </c>
      <c r="DB312" s="399">
        <v>0</v>
      </c>
      <c r="DC312" s="399">
        <v>61548.759346303355</v>
      </c>
      <c r="DD312" s="399">
        <v>0</v>
      </c>
      <c r="DE312" s="399">
        <v>0</v>
      </c>
      <c r="DF312" s="399">
        <v>0</v>
      </c>
      <c r="DG312" s="399">
        <v>242.63324638928225</v>
      </c>
      <c r="DH312" s="399">
        <v>0</v>
      </c>
      <c r="DI312" s="399">
        <v>-4893.2785218356003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-679.65855353539882</v>
      </c>
      <c r="DP312" s="399">
        <v>-101.84697750771306</v>
      </c>
      <c r="DQ312" s="399">
        <v>0</v>
      </c>
      <c r="DR312" s="399">
        <v>0</v>
      </c>
      <c r="DS312" s="399"/>
      <c r="DT312" s="399"/>
      <c r="DU312" s="399"/>
      <c r="DV312" s="399">
        <v>0</v>
      </c>
      <c r="DW312" s="399">
        <v>0</v>
      </c>
      <c r="DX312" s="399">
        <v>0</v>
      </c>
      <c r="DY312" s="399">
        <v>-5434.872000000003</v>
      </c>
      <c r="DZ312" s="399">
        <v>61549.925400000066</v>
      </c>
      <c r="EA312" s="399">
        <v>0</v>
      </c>
      <c r="EB312" s="399">
        <v>0</v>
      </c>
      <c r="EC312" s="399">
        <v>0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216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312</v>
      </c>
      <c r="B313" s="399" t="s">
        <v>954</v>
      </c>
      <c r="C313" s="399" t="s">
        <v>2360</v>
      </c>
      <c r="D313" s="399" t="s">
        <v>533</v>
      </c>
      <c r="E313" s="399" t="s">
        <v>888</v>
      </c>
      <c r="F313" s="399" t="s">
        <v>1237</v>
      </c>
      <c r="G313" s="399" t="s">
        <v>1237</v>
      </c>
      <c r="H313" s="399" t="s">
        <v>1237</v>
      </c>
      <c r="I313" s="399" t="s">
        <v>1237</v>
      </c>
      <c r="J313" s="399" t="s">
        <v>2353</v>
      </c>
      <c r="K313" s="789">
        <v>44682</v>
      </c>
      <c r="L313" s="399">
        <v>6762</v>
      </c>
      <c r="M313" s="399">
        <v>6762</v>
      </c>
      <c r="N313" s="399">
        <v>0</v>
      </c>
      <c r="O313" s="399">
        <v>0</v>
      </c>
      <c r="P313" s="399">
        <v>0</v>
      </c>
      <c r="Q313" s="399">
        <v>0</v>
      </c>
      <c r="R313" s="399">
        <v>28.04</v>
      </c>
      <c r="S313" s="399"/>
      <c r="T313" s="399"/>
      <c r="U313" s="399">
        <v>189606.47999999998</v>
      </c>
      <c r="V313" s="399"/>
      <c r="W313" s="399">
        <v>189606.47999999998</v>
      </c>
      <c r="X313" s="399">
        <v>142407.72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74859.920541638072</v>
      </c>
      <c r="AE313" s="399">
        <v>114780.21592573664</v>
      </c>
      <c r="AF313" s="399"/>
      <c r="AG313" s="399"/>
      <c r="AH313" s="399"/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0</v>
      </c>
      <c r="AO313" s="399">
        <v>0</v>
      </c>
      <c r="AP313" s="399">
        <v>0</v>
      </c>
      <c r="AQ313" s="399">
        <v>0</v>
      </c>
      <c r="AR313" s="399">
        <v>0</v>
      </c>
      <c r="AS313" s="399"/>
      <c r="AT313" s="399"/>
      <c r="AU313" s="399">
        <v>0</v>
      </c>
      <c r="AV313" s="399">
        <v>0</v>
      </c>
      <c r="AW313" s="399">
        <v>0</v>
      </c>
      <c r="AX313" s="399"/>
      <c r="AY313" s="399"/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/>
      <c r="BG313" s="399">
        <v>0</v>
      </c>
      <c r="BH313" s="399">
        <v>0</v>
      </c>
      <c r="BI313" s="399">
        <v>0</v>
      </c>
      <c r="BJ313" s="399">
        <v>0</v>
      </c>
      <c r="BK313" s="399">
        <v>326484.8</v>
      </c>
      <c r="BL313" s="399">
        <v>16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>
        <v>0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142407.72</v>
      </c>
      <c r="CJ313" s="399">
        <v>-47198.790000000008</v>
      </c>
      <c r="CK313" s="399"/>
      <c r="CL313" s="399"/>
      <c r="CM313" s="399"/>
      <c r="CN313" s="399"/>
      <c r="CO313" s="399">
        <v>-47198.76</v>
      </c>
      <c r="CP313" s="399">
        <v>0</v>
      </c>
      <c r="CQ313" s="399">
        <v>31</v>
      </c>
      <c r="CR313" s="399">
        <v>3115.8332364886737</v>
      </c>
      <c r="CS313" s="399">
        <v>0</v>
      </c>
      <c r="CT313" s="399">
        <v>0</v>
      </c>
      <c r="CU313" s="399">
        <v>0</v>
      </c>
      <c r="CV313" s="399">
        <v>0</v>
      </c>
      <c r="CW313" s="399"/>
      <c r="CX313" s="399"/>
      <c r="CY313" s="399"/>
      <c r="CZ313" s="399">
        <v>3115.8332364886737</v>
      </c>
      <c r="DA313" s="399">
        <v>0</v>
      </c>
      <c r="DB313" s="399">
        <v>0</v>
      </c>
      <c r="DC313" s="399"/>
      <c r="DD313" s="399"/>
      <c r="DE313" s="399">
        <v>0</v>
      </c>
      <c r="DF313" s="399">
        <v>0</v>
      </c>
      <c r="DG313" s="399">
        <v>0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/>
      <c r="DN313" s="399">
        <v>0</v>
      </c>
      <c r="DO313" s="399">
        <v>0</v>
      </c>
      <c r="DP313" s="399">
        <v>0</v>
      </c>
      <c r="DQ313" s="399">
        <v>0</v>
      </c>
      <c r="DR313" s="399">
        <v>0</v>
      </c>
      <c r="DS313" s="399"/>
      <c r="DT313" s="399"/>
      <c r="DU313" s="399">
        <v>114780.21592573664</v>
      </c>
      <c r="DV313" s="399"/>
      <c r="DW313" s="399">
        <v>0</v>
      </c>
      <c r="DX313" s="399">
        <v>0</v>
      </c>
      <c r="DY313" s="399">
        <v>-47198.75999999998</v>
      </c>
      <c r="DZ313" s="399"/>
      <c r="EA313" s="399">
        <v>0</v>
      </c>
      <c r="EB313" s="399"/>
      <c r="EC313" s="399">
        <v>-50362.380070410676</v>
      </c>
      <c r="ED313" s="399"/>
      <c r="EE313" s="399">
        <v>0</v>
      </c>
      <c r="EF313" s="399">
        <v>0</v>
      </c>
      <c r="EG313" s="399"/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/>
      <c r="EN313" s="399"/>
      <c r="EO313" s="399">
        <v>0</v>
      </c>
      <c r="EP313" s="399">
        <v>0</v>
      </c>
      <c r="EQ313" s="399"/>
      <c r="ER313" s="399">
        <v>0</v>
      </c>
      <c r="ES313" s="399"/>
      <c r="ET313" s="399">
        <v>0</v>
      </c>
      <c r="EU313" s="399"/>
      <c r="EV313" s="399">
        <v>216</v>
      </c>
      <c r="EW313" s="399"/>
      <c r="EX313" s="399"/>
      <c r="EY313" s="399"/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313</v>
      </c>
      <c r="B314" s="399" t="s">
        <v>954</v>
      </c>
      <c r="C314" s="399" t="s">
        <v>2352</v>
      </c>
      <c r="D314" s="399" t="s">
        <v>1824</v>
      </c>
      <c r="E314" s="399" t="s">
        <v>916</v>
      </c>
      <c r="F314" s="399" t="s">
        <v>1237</v>
      </c>
      <c r="G314" s="399" t="s">
        <v>1237</v>
      </c>
      <c r="H314" s="399" t="s">
        <v>1237</v>
      </c>
      <c r="I314" s="399" t="s">
        <v>1237</v>
      </c>
      <c r="J314" s="399" t="s">
        <v>2353</v>
      </c>
      <c r="K314" s="789">
        <v>44682</v>
      </c>
      <c r="L314" s="399">
        <v>0</v>
      </c>
      <c r="M314" s="399">
        <v>0</v>
      </c>
      <c r="N314" s="399">
        <v>156.58600000000001</v>
      </c>
      <c r="O314" s="399">
        <v>156.58600000000001</v>
      </c>
      <c r="P314" s="399">
        <v>156.58600000000001</v>
      </c>
      <c r="Q314" s="399">
        <v>156.58600000000001</v>
      </c>
      <c r="R314" s="399"/>
      <c r="S314" s="399">
        <v>415.98</v>
      </c>
      <c r="T314" s="399">
        <v>215.17</v>
      </c>
      <c r="U314" s="399"/>
      <c r="V314" s="399">
        <v>98829.253900000011</v>
      </c>
      <c r="W314" s="399">
        <v>98829.253900000011</v>
      </c>
      <c r="X314" s="399">
        <v>85893.684440000012</v>
      </c>
      <c r="Y314" s="399">
        <v>0</v>
      </c>
      <c r="Z314" s="399">
        <v>9565.3060491763972</v>
      </c>
      <c r="AA314" s="399">
        <v>0</v>
      </c>
      <c r="AB314" s="399">
        <v>0</v>
      </c>
      <c r="AC314" s="399">
        <v>0</v>
      </c>
      <c r="AD314" s="399">
        <v>13985.569003554974</v>
      </c>
      <c r="AE314" s="399">
        <v>39586.583668491374</v>
      </c>
      <c r="AF314" s="399">
        <v>33002.368758631732</v>
      </c>
      <c r="AG314" s="399">
        <v>690.07049887527887</v>
      </c>
      <c r="AH314" s="399">
        <v>0</v>
      </c>
      <c r="AI314" s="399">
        <v>0</v>
      </c>
      <c r="AJ314" s="399">
        <v>0</v>
      </c>
      <c r="AK314" s="399">
        <v>0</v>
      </c>
      <c r="AL314" s="399">
        <v>1478.0851473183209</v>
      </c>
      <c r="AM314" s="399"/>
      <c r="AN314" s="399">
        <v>184.36396162170445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336.96282238516682</v>
      </c>
      <c r="BH314" s="399">
        <v>0</v>
      </c>
      <c r="BI314" s="399">
        <v>0</v>
      </c>
      <c r="BJ314" s="399">
        <v>0</v>
      </c>
      <c r="BK314" s="399">
        <v>28563.42</v>
      </c>
      <c r="BL314" s="399">
        <v>447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33339.331581016901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85895.878599999996</v>
      </c>
      <c r="CJ314" s="399">
        <v>-12933.405300000013</v>
      </c>
      <c r="CK314" s="399"/>
      <c r="CL314" s="399"/>
      <c r="CM314" s="399"/>
      <c r="CN314" s="399"/>
      <c r="CO314" s="399">
        <v>-17191.576940000006</v>
      </c>
      <c r="CP314" s="399">
        <v>4256.0074800000011</v>
      </c>
      <c r="CQ314" s="399">
        <v>31</v>
      </c>
      <c r="CR314" s="399">
        <v>4433.5593644023465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582.10989828996026</v>
      </c>
      <c r="DA314" s="399">
        <v>0</v>
      </c>
      <c r="DB314" s="399">
        <v>0</v>
      </c>
      <c r="DC314" s="399">
        <v>4255.9268506048757</v>
      </c>
      <c r="DD314" s="399">
        <v>0</v>
      </c>
      <c r="DE314" s="399">
        <v>0</v>
      </c>
      <c r="DF314" s="399">
        <v>0</v>
      </c>
      <c r="DG314" s="399">
        <v>43.454127003219298</v>
      </c>
      <c r="DH314" s="399">
        <v>0</v>
      </c>
      <c r="DI314" s="399">
        <v>-388.91575360778916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-46.99651330028496</v>
      </c>
      <c r="DP314" s="399">
        <v>-12.019244587640117</v>
      </c>
      <c r="DQ314" s="399">
        <v>0</v>
      </c>
      <c r="DR314" s="399">
        <v>0</v>
      </c>
      <c r="DS314" s="399"/>
      <c r="DT314" s="399"/>
      <c r="DU314" s="399"/>
      <c r="DV314" s="399">
        <v>39586.583668491374</v>
      </c>
      <c r="DW314" s="399">
        <v>0</v>
      </c>
      <c r="DX314" s="399">
        <v>0</v>
      </c>
      <c r="DY314" s="399">
        <v>-17191.576940000006</v>
      </c>
      <c r="DZ314" s="399">
        <v>4256.0074800000002</v>
      </c>
      <c r="EA314" s="399">
        <v>0</v>
      </c>
      <c r="EB314" s="399">
        <v>0</v>
      </c>
      <c r="EC314" s="399">
        <v>-17369.496618577465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216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314</v>
      </c>
      <c r="B315" s="399" t="s">
        <v>2355</v>
      </c>
      <c r="C315" s="399" t="s">
        <v>2352</v>
      </c>
      <c r="D315" s="399" t="s">
        <v>1824</v>
      </c>
      <c r="E315" s="399" t="s">
        <v>916</v>
      </c>
      <c r="F315" s="399" t="s">
        <v>1237</v>
      </c>
      <c r="G315" s="399" t="s">
        <v>1237</v>
      </c>
      <c r="H315" s="399" t="s">
        <v>1237</v>
      </c>
      <c r="I315" s="399" t="s">
        <v>1237</v>
      </c>
      <c r="J315" s="399" t="s">
        <v>2353</v>
      </c>
      <c r="K315" s="789">
        <v>44682</v>
      </c>
      <c r="L315" s="399">
        <v>0</v>
      </c>
      <c r="M315" s="399">
        <v>0</v>
      </c>
      <c r="N315" s="399">
        <v>1.2909999999999999</v>
      </c>
      <c r="O315" s="399">
        <v>1.2909999999999999</v>
      </c>
      <c r="P315" s="399">
        <v>1.2909999999999999</v>
      </c>
      <c r="Q315" s="399">
        <v>1.2909999999999999</v>
      </c>
      <c r="R315" s="399"/>
      <c r="S315" s="399">
        <v>415.98</v>
      </c>
      <c r="T315" s="399">
        <v>215.17</v>
      </c>
      <c r="U315" s="399"/>
      <c r="V315" s="399">
        <v>814.81464999999992</v>
      </c>
      <c r="W315" s="399">
        <v>814.81464999999992</v>
      </c>
      <c r="X315" s="399">
        <v>708.16513999999984</v>
      </c>
      <c r="Y315" s="399">
        <v>0</v>
      </c>
      <c r="Z315" s="399">
        <v>78.862798139595668</v>
      </c>
      <c r="AA315" s="399">
        <v>0</v>
      </c>
      <c r="AB315" s="399">
        <v>0</v>
      </c>
      <c r="AC315" s="399">
        <v>0</v>
      </c>
      <c r="AD315" s="399">
        <v>115.30641042998397</v>
      </c>
      <c r="AE315" s="399">
        <v>326.3783449096494</v>
      </c>
      <c r="AF315" s="399">
        <v>272.09366142179738</v>
      </c>
      <c r="AG315" s="399">
        <v>5.689403995555061</v>
      </c>
      <c r="AH315" s="399">
        <v>0</v>
      </c>
      <c r="AI315" s="399">
        <v>0</v>
      </c>
      <c r="AJ315" s="399">
        <v>0</v>
      </c>
      <c r="AK315" s="399">
        <v>0</v>
      </c>
      <c r="AL315" s="399">
        <v>12.186325247390903</v>
      </c>
      <c r="AM315" s="399"/>
      <c r="AN315" s="399">
        <v>1.5200201451829694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2.7781474953013059</v>
      </c>
      <c r="BH315" s="399">
        <v>0</v>
      </c>
      <c r="BI315" s="399">
        <v>0</v>
      </c>
      <c r="BJ315" s="399">
        <v>0</v>
      </c>
      <c r="BK315" s="399">
        <v>616.07000000000005</v>
      </c>
      <c r="BL315" s="399">
        <v>8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274.87180891709869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707.61660000000006</v>
      </c>
      <c r="CJ315" s="399">
        <v>-107.22804999999983</v>
      </c>
      <c r="CK315" s="399"/>
      <c r="CL315" s="399"/>
      <c r="CM315" s="399"/>
      <c r="CN315" s="399"/>
      <c r="CO315" s="399">
        <v>-141.73889000000003</v>
      </c>
      <c r="CP315" s="399">
        <v>35.089380000000006</v>
      </c>
      <c r="CQ315" s="399">
        <v>31</v>
      </c>
      <c r="CR315" s="399">
        <v>36.553236811997408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4.7993043994503921</v>
      </c>
      <c r="DA315" s="399">
        <v>0</v>
      </c>
      <c r="DB315" s="399">
        <v>0</v>
      </c>
      <c r="DC315" s="399">
        <v>35.08871523719165</v>
      </c>
      <c r="DD315" s="399">
        <v>0</v>
      </c>
      <c r="DE315" s="399">
        <v>0</v>
      </c>
      <c r="DF315" s="399">
        <v>0</v>
      </c>
      <c r="DG315" s="399">
        <v>0.35826496596858037</v>
      </c>
      <c r="DH315" s="399">
        <v>0</v>
      </c>
      <c r="DI315" s="399">
        <v>-3.2064823030644902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-0.38747077433913368</v>
      </c>
      <c r="DP315" s="399">
        <v>-9.9094713209632035E-2</v>
      </c>
      <c r="DQ315" s="399">
        <v>0</v>
      </c>
      <c r="DR315" s="399">
        <v>0</v>
      </c>
      <c r="DS315" s="399"/>
      <c r="DT315" s="399"/>
      <c r="DU315" s="399"/>
      <c r="DV315" s="399">
        <v>326.3783449096494</v>
      </c>
      <c r="DW315" s="399">
        <v>0</v>
      </c>
      <c r="DX315" s="399">
        <v>0</v>
      </c>
      <c r="DY315" s="399">
        <v>-141.73889000000003</v>
      </c>
      <c r="DZ315" s="399">
        <v>35.089380000000006</v>
      </c>
      <c r="EA315" s="399">
        <v>0</v>
      </c>
      <c r="EB315" s="399">
        <v>0</v>
      </c>
      <c r="EC315" s="399">
        <v>-143.20577915384203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216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315</v>
      </c>
      <c r="B316" s="399" t="s">
        <v>954</v>
      </c>
      <c r="C316" s="399" t="s">
        <v>2360</v>
      </c>
      <c r="D316" s="399" t="s">
        <v>533</v>
      </c>
      <c r="E316" s="399" t="s">
        <v>916</v>
      </c>
      <c r="F316" s="399" t="s">
        <v>1237</v>
      </c>
      <c r="G316" s="399" t="s">
        <v>1237</v>
      </c>
      <c r="H316" s="399" t="s">
        <v>1237</v>
      </c>
      <c r="I316" s="399" t="s">
        <v>891</v>
      </c>
      <c r="J316" s="399" t="s">
        <v>2353</v>
      </c>
      <c r="K316" s="789">
        <v>44682</v>
      </c>
      <c r="L316" s="399">
        <v>0</v>
      </c>
      <c r="M316" s="399">
        <v>0</v>
      </c>
      <c r="N316" s="399">
        <v>2.5649999999999999</v>
      </c>
      <c r="O316" s="399">
        <v>2.5649999999999999</v>
      </c>
      <c r="P316" s="399">
        <v>2.5649999999999999</v>
      </c>
      <c r="Q316" s="399">
        <v>2.5649999999999999</v>
      </c>
      <c r="R316" s="399"/>
      <c r="S316" s="399">
        <v>2184.0300000000002</v>
      </c>
      <c r="T316" s="399">
        <v>215.17</v>
      </c>
      <c r="U316" s="399"/>
      <c r="V316" s="399">
        <v>6153.9480000000003</v>
      </c>
      <c r="W316" s="399">
        <v>6153.9480000000003</v>
      </c>
      <c r="X316" s="399">
        <v>4643.6503499999999</v>
      </c>
      <c r="Y316" s="399">
        <v>0</v>
      </c>
      <c r="Z316" s="399">
        <v>136.31779797708327</v>
      </c>
      <c r="AA316" s="399">
        <v>0</v>
      </c>
      <c r="AB316" s="399">
        <v>0</v>
      </c>
      <c r="AC316" s="399">
        <v>0</v>
      </c>
      <c r="AD316" s="399">
        <v>1690.3202926828092</v>
      </c>
      <c r="AE316" s="399">
        <v>3747.2805151463026</v>
      </c>
      <c r="AF316" s="399">
        <v>540.60436990465553</v>
      </c>
      <c r="AG316" s="399">
        <v>11.303889425715518</v>
      </c>
      <c r="AH316" s="399">
        <v>0</v>
      </c>
      <c r="AI316" s="399">
        <v>0</v>
      </c>
      <c r="AJ316" s="399">
        <v>0</v>
      </c>
      <c r="AK316" s="399">
        <v>0</v>
      </c>
      <c r="AL316" s="399">
        <v>24.212179906706172</v>
      </c>
      <c r="AM316" s="399"/>
      <c r="AN316" s="399">
        <v>1.7695233372979462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2.1311330183631574</v>
      </c>
      <c r="BH316" s="399">
        <v>0</v>
      </c>
      <c r="BI316" s="399">
        <v>0</v>
      </c>
      <c r="BJ316" s="399">
        <v>0</v>
      </c>
      <c r="BK316" s="399">
        <v>0</v>
      </c>
      <c r="BL316" s="399">
        <v>0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542.73550292301866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4652.7022999999999</v>
      </c>
      <c r="CJ316" s="399">
        <v>-1501.2757000000011</v>
      </c>
      <c r="CK316" s="399"/>
      <c r="CL316" s="399"/>
      <c r="CM316" s="399"/>
      <c r="CN316" s="399"/>
      <c r="CO316" s="399">
        <v>-1580.0143500000006</v>
      </c>
      <c r="CP316" s="399">
        <v>69.716700000000017</v>
      </c>
      <c r="CQ316" s="399">
        <v>31</v>
      </c>
      <c r="CR316" s="399">
        <v>133.91728032637502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70.354818842260329</v>
      </c>
      <c r="DA316" s="399">
        <v>0</v>
      </c>
      <c r="DB316" s="399">
        <v>0</v>
      </c>
      <c r="DC316" s="399">
        <v>69.715379228037591</v>
      </c>
      <c r="DD316" s="399">
        <v>0</v>
      </c>
      <c r="DE316" s="399">
        <v>0</v>
      </c>
      <c r="DF316" s="399">
        <v>0</v>
      </c>
      <c r="DG316" s="399">
        <v>0.27482712836151846</v>
      </c>
      <c r="DH316" s="399">
        <v>0</v>
      </c>
      <c r="DI316" s="399">
        <v>-5.5425449910172517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-0.76983929990695543</v>
      </c>
      <c r="DP316" s="399">
        <v>-0.11536058136005423</v>
      </c>
      <c r="DQ316" s="399">
        <v>0</v>
      </c>
      <c r="DR316" s="399">
        <v>0</v>
      </c>
      <c r="DS316" s="399"/>
      <c r="DT316" s="399"/>
      <c r="DU316" s="399"/>
      <c r="DV316" s="399">
        <v>3747.2805151463026</v>
      </c>
      <c r="DW316" s="399">
        <v>0</v>
      </c>
      <c r="DX316" s="399">
        <v>0</v>
      </c>
      <c r="DY316" s="399">
        <v>-1580.0143500000008</v>
      </c>
      <c r="DZ316" s="399">
        <v>69.71670000000006</v>
      </c>
      <c r="EA316" s="399">
        <v>0</v>
      </c>
      <c r="EB316" s="399">
        <v>0</v>
      </c>
      <c r="EC316" s="399">
        <v>-1644.2029143449804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216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316</v>
      </c>
      <c r="B317" s="399" t="s">
        <v>954</v>
      </c>
      <c r="C317" s="399" t="s">
        <v>2360</v>
      </c>
      <c r="D317" s="399" t="s">
        <v>533</v>
      </c>
      <c r="E317" s="399" t="s">
        <v>916</v>
      </c>
      <c r="F317" s="399" t="s">
        <v>1237</v>
      </c>
      <c r="G317" s="399" t="s">
        <v>1237</v>
      </c>
      <c r="H317" s="399" t="s">
        <v>1237</v>
      </c>
      <c r="I317" s="399" t="s">
        <v>2327</v>
      </c>
      <c r="J317" s="399" t="s">
        <v>2353</v>
      </c>
      <c r="K317" s="789">
        <v>44682</v>
      </c>
      <c r="L317" s="399">
        <v>0</v>
      </c>
      <c r="M317" s="399">
        <v>0</v>
      </c>
      <c r="N317" s="399">
        <v>27.405999999999999</v>
      </c>
      <c r="O317" s="399">
        <v>27.405999999999999</v>
      </c>
      <c r="P317" s="399">
        <v>27.405999999999999</v>
      </c>
      <c r="Q317" s="399">
        <v>27.405999999999999</v>
      </c>
      <c r="R317" s="399"/>
      <c r="S317" s="399">
        <v>64.11</v>
      </c>
      <c r="T317" s="399">
        <v>215.17</v>
      </c>
      <c r="U317" s="399"/>
      <c r="V317" s="399">
        <v>7653.9476799999993</v>
      </c>
      <c r="W317" s="399">
        <v>7653.9476799999993</v>
      </c>
      <c r="X317" s="399">
        <v>8333.0683599999993</v>
      </c>
      <c r="Y317" s="399">
        <v>0</v>
      </c>
      <c r="Z317" s="399">
        <v>1456.5011974112842</v>
      </c>
      <c r="AA317" s="399">
        <v>0</v>
      </c>
      <c r="AB317" s="399">
        <v>0</v>
      </c>
      <c r="AC317" s="399">
        <v>0</v>
      </c>
      <c r="AD317" s="399">
        <v>0</v>
      </c>
      <c r="AE317" s="399">
        <v>0</v>
      </c>
      <c r="AF317" s="399">
        <v>5776.1416614452191</v>
      </c>
      <c r="AG317" s="399">
        <v>120.77754136497445</v>
      </c>
      <c r="AH317" s="399">
        <v>0</v>
      </c>
      <c r="AI317" s="399">
        <v>0</v>
      </c>
      <c r="AJ317" s="399">
        <v>0</v>
      </c>
      <c r="AK317" s="399">
        <v>0</v>
      </c>
      <c r="AL317" s="399">
        <v>258.69746687063912</v>
      </c>
      <c r="AM317" s="399"/>
      <c r="AN317" s="399">
        <v>18.906649739566284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22.770304678854071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5798.9119661240729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8334.2846000000009</v>
      </c>
      <c r="CJ317" s="399">
        <v>680.30692000000181</v>
      </c>
      <c r="CK317" s="399"/>
      <c r="CL317" s="399"/>
      <c r="CM317" s="399"/>
      <c r="CN317" s="399"/>
      <c r="CO317" s="399">
        <v>-65.774399999999957</v>
      </c>
      <c r="CP317" s="399">
        <v>744.89508000000012</v>
      </c>
      <c r="CQ317" s="399">
        <v>31</v>
      </c>
      <c r="CR317" s="399">
        <v>679.13950075386219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0</v>
      </c>
      <c r="DA317" s="399">
        <v>0</v>
      </c>
      <c r="DB317" s="399">
        <v>0</v>
      </c>
      <c r="DC317" s="399">
        <v>744.88096807937654</v>
      </c>
      <c r="DD317" s="399">
        <v>0</v>
      </c>
      <c r="DE317" s="399">
        <v>0</v>
      </c>
      <c r="DF317" s="399">
        <v>0</v>
      </c>
      <c r="DG317" s="399">
        <v>2.9364180428365572</v>
      </c>
      <c r="DH317" s="399">
        <v>0</v>
      </c>
      <c r="DI317" s="399">
        <v>-59.219878371859295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-8.2254252839181561</v>
      </c>
      <c r="DP317" s="399">
        <v>-1.2325817125745218</v>
      </c>
      <c r="DQ317" s="399">
        <v>0</v>
      </c>
      <c r="DR317" s="399">
        <v>0</v>
      </c>
      <c r="DS317" s="399"/>
      <c r="DT317" s="399"/>
      <c r="DU317" s="399"/>
      <c r="DV317" s="399">
        <v>0</v>
      </c>
      <c r="DW317" s="399">
        <v>0</v>
      </c>
      <c r="DX317" s="399">
        <v>0</v>
      </c>
      <c r="DY317" s="399">
        <v>-65.774400000000014</v>
      </c>
      <c r="DZ317" s="399">
        <v>744.89508000000023</v>
      </c>
      <c r="EA317" s="399">
        <v>0</v>
      </c>
      <c r="EB317" s="399">
        <v>0</v>
      </c>
      <c r="EC317" s="399">
        <v>0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216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317</v>
      </c>
      <c r="B318" s="399" t="s">
        <v>954</v>
      </c>
      <c r="C318" s="399" t="s">
        <v>2360</v>
      </c>
      <c r="D318" s="399" t="s">
        <v>533</v>
      </c>
      <c r="E318" s="399" t="s">
        <v>916</v>
      </c>
      <c r="F318" s="399" t="s">
        <v>1237</v>
      </c>
      <c r="G318" s="399" t="s">
        <v>1237</v>
      </c>
      <c r="H318" s="399" t="s">
        <v>1237</v>
      </c>
      <c r="I318" s="399" t="s">
        <v>1237</v>
      </c>
      <c r="J318" s="399" t="s">
        <v>2353</v>
      </c>
      <c r="K318" s="789">
        <v>44682</v>
      </c>
      <c r="L318" s="399">
        <v>110</v>
      </c>
      <c r="M318" s="399">
        <v>110</v>
      </c>
      <c r="N318" s="399">
        <v>0</v>
      </c>
      <c r="O318" s="399">
        <v>0</v>
      </c>
      <c r="P318" s="399">
        <v>0</v>
      </c>
      <c r="Q318" s="399">
        <v>0</v>
      </c>
      <c r="R318" s="399">
        <v>28.04</v>
      </c>
      <c r="S318" s="399"/>
      <c r="T318" s="399"/>
      <c r="U318" s="399">
        <v>3084.4</v>
      </c>
      <c r="V318" s="399"/>
      <c r="W318" s="399">
        <v>3084.4</v>
      </c>
      <c r="X318" s="399">
        <v>2316.6</v>
      </c>
      <c r="Y318" s="399">
        <v>0</v>
      </c>
      <c r="Z318" s="399">
        <v>0</v>
      </c>
      <c r="AA318" s="399">
        <v>0</v>
      </c>
      <c r="AB318" s="399">
        <v>0</v>
      </c>
      <c r="AC318" s="399">
        <v>0</v>
      </c>
      <c r="AD318" s="399">
        <v>1217.7745133954729</v>
      </c>
      <c r="AE318" s="399">
        <v>1867.1729890315041</v>
      </c>
      <c r="AF318" s="399"/>
      <c r="AG318" s="399"/>
      <c r="AH318" s="399"/>
      <c r="AI318" s="399">
        <v>0</v>
      </c>
      <c r="AJ318" s="399">
        <v>0</v>
      </c>
      <c r="AK318" s="399">
        <v>0</v>
      </c>
      <c r="AL318" s="399">
        <v>0</v>
      </c>
      <c r="AM318" s="399"/>
      <c r="AN318" s="399">
        <v>0</v>
      </c>
      <c r="AO318" s="399">
        <v>0</v>
      </c>
      <c r="AP318" s="399">
        <v>0</v>
      </c>
      <c r="AQ318" s="399">
        <v>0</v>
      </c>
      <c r="AR318" s="399">
        <v>0</v>
      </c>
      <c r="AS318" s="399"/>
      <c r="AT318" s="399"/>
      <c r="AU318" s="399">
        <v>0</v>
      </c>
      <c r="AV318" s="399">
        <v>0</v>
      </c>
      <c r="AW318" s="399">
        <v>0</v>
      </c>
      <c r="AX318" s="399"/>
      <c r="AY318" s="399"/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/>
      <c r="BG318" s="399">
        <v>0</v>
      </c>
      <c r="BH318" s="399">
        <v>0</v>
      </c>
      <c r="BI318" s="399">
        <v>0</v>
      </c>
      <c r="BJ318" s="399">
        <v>0</v>
      </c>
      <c r="BK318" s="399">
        <v>4294.45</v>
      </c>
      <c r="BL318" s="399">
        <v>1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0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2316.6</v>
      </c>
      <c r="CJ318" s="399">
        <v>-767.83000000000084</v>
      </c>
      <c r="CK318" s="399"/>
      <c r="CL318" s="399"/>
      <c r="CM318" s="399"/>
      <c r="CN318" s="399"/>
      <c r="CO318" s="399">
        <v>-767.80000000000007</v>
      </c>
      <c r="CP318" s="399">
        <v>0</v>
      </c>
      <c r="CQ318" s="399">
        <v>31</v>
      </c>
      <c r="CR318" s="399">
        <v>50.686432418478944</v>
      </c>
      <c r="CS318" s="399">
        <v>0</v>
      </c>
      <c r="CT318" s="399">
        <v>0</v>
      </c>
      <c r="CU318" s="399">
        <v>0</v>
      </c>
      <c r="CV318" s="399">
        <v>0</v>
      </c>
      <c r="CW318" s="399"/>
      <c r="CX318" s="399"/>
      <c r="CY318" s="399"/>
      <c r="CZ318" s="399">
        <v>50.686432418478944</v>
      </c>
      <c r="DA318" s="399">
        <v>0</v>
      </c>
      <c r="DB318" s="399">
        <v>0</v>
      </c>
      <c r="DC318" s="399"/>
      <c r="DD318" s="399"/>
      <c r="DE318" s="399">
        <v>0</v>
      </c>
      <c r="DF318" s="399">
        <v>0</v>
      </c>
      <c r="DG318" s="399">
        <v>0</v>
      </c>
      <c r="DH318" s="399">
        <v>0</v>
      </c>
      <c r="DI318" s="399">
        <v>0</v>
      </c>
      <c r="DJ318" s="399"/>
      <c r="DK318" s="399">
        <v>0</v>
      </c>
      <c r="DL318" s="399">
        <v>0</v>
      </c>
      <c r="DM318" s="399"/>
      <c r="DN318" s="399">
        <v>0</v>
      </c>
      <c r="DO318" s="399">
        <v>0</v>
      </c>
      <c r="DP318" s="399">
        <v>0</v>
      </c>
      <c r="DQ318" s="399">
        <v>0</v>
      </c>
      <c r="DR318" s="399">
        <v>0</v>
      </c>
      <c r="DS318" s="399"/>
      <c r="DT318" s="399"/>
      <c r="DU318" s="399">
        <v>1867.1729890315041</v>
      </c>
      <c r="DV318" s="399"/>
      <c r="DW318" s="399">
        <v>0</v>
      </c>
      <c r="DX318" s="399">
        <v>0</v>
      </c>
      <c r="DY318" s="399">
        <v>-767.80000000000018</v>
      </c>
      <c r="DZ318" s="399"/>
      <c r="EA318" s="399">
        <v>0</v>
      </c>
      <c r="EB318" s="399"/>
      <c r="EC318" s="399">
        <v>-819.26379883838717</v>
      </c>
      <c r="ED318" s="399"/>
      <c r="EE318" s="399">
        <v>0</v>
      </c>
      <c r="EF318" s="399">
        <v>0</v>
      </c>
      <c r="EG318" s="399"/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/>
      <c r="EN318" s="399"/>
      <c r="EO318" s="399">
        <v>0</v>
      </c>
      <c r="EP318" s="399">
        <v>0</v>
      </c>
      <c r="EQ318" s="399"/>
      <c r="ER318" s="399">
        <v>0</v>
      </c>
      <c r="ES318" s="399"/>
      <c r="ET318" s="399">
        <v>0</v>
      </c>
      <c r="EU318" s="399"/>
      <c r="EV318" s="399">
        <v>216</v>
      </c>
      <c r="EW318" s="399"/>
      <c r="EX318" s="399"/>
      <c r="EY318" s="399"/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318</v>
      </c>
      <c r="B319" s="399" t="s">
        <v>954</v>
      </c>
      <c r="C319" s="399" t="s">
        <v>2361</v>
      </c>
      <c r="D319" s="399" t="s">
        <v>1824</v>
      </c>
      <c r="E319" s="399" t="s">
        <v>916</v>
      </c>
      <c r="F319" s="399" t="s">
        <v>1237</v>
      </c>
      <c r="G319" s="399" t="s">
        <v>1237</v>
      </c>
      <c r="H319" s="399" t="s">
        <v>1237</v>
      </c>
      <c r="I319" s="399" t="s">
        <v>891</v>
      </c>
      <c r="J319" s="399" t="s">
        <v>2353</v>
      </c>
      <c r="K319" s="789">
        <v>44682</v>
      </c>
      <c r="L319" s="399">
        <v>0</v>
      </c>
      <c r="M319" s="399">
        <v>0</v>
      </c>
      <c r="N319" s="399">
        <v>7.8E-2</v>
      </c>
      <c r="O319" s="399">
        <v>7.8E-2</v>
      </c>
      <c r="P319" s="399">
        <v>7.8E-2</v>
      </c>
      <c r="Q319" s="399">
        <v>7.8E-2</v>
      </c>
      <c r="R319" s="399"/>
      <c r="S319" s="399">
        <v>1254.27</v>
      </c>
      <c r="T319" s="399">
        <v>215.17</v>
      </c>
      <c r="U319" s="399"/>
      <c r="V319" s="399">
        <v>114.61632</v>
      </c>
      <c r="W319" s="399">
        <v>114.61632</v>
      </c>
      <c r="X319" s="399">
        <v>87.68526</v>
      </c>
      <c r="Y319" s="399">
        <v>0</v>
      </c>
      <c r="Z319" s="399">
        <v>4.7647546513466015</v>
      </c>
      <c r="AA319" s="399">
        <v>0</v>
      </c>
      <c r="AB319" s="399">
        <v>0</v>
      </c>
      <c r="AC319" s="399">
        <v>0</v>
      </c>
      <c r="AD319" s="399">
        <v>24.040832272259244</v>
      </c>
      <c r="AE319" s="399">
        <v>68.031283348527481</v>
      </c>
      <c r="AF319" s="399">
        <v>16.439431131603559</v>
      </c>
      <c r="AG319" s="399">
        <v>0.34374400592819121</v>
      </c>
      <c r="AH319" s="399">
        <v>0</v>
      </c>
      <c r="AI319" s="399">
        <v>0</v>
      </c>
      <c r="AJ319" s="399">
        <v>0</v>
      </c>
      <c r="AK319" s="399">
        <v>0</v>
      </c>
      <c r="AL319" s="399">
        <v>0.736276815876445</v>
      </c>
      <c r="AM319" s="399"/>
      <c r="AN319" s="399">
        <v>9.1837003349551985E-2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0.16785089437141895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16.607282025974978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89.933600000000013</v>
      </c>
      <c r="CJ319" s="399">
        <v>-24.712720000000004</v>
      </c>
      <c r="CK319" s="399"/>
      <c r="CL319" s="399"/>
      <c r="CM319" s="399"/>
      <c r="CN319" s="399"/>
      <c r="CO319" s="399">
        <v>-29.051099999999995</v>
      </c>
      <c r="CP319" s="399">
        <v>2.1200400000000004</v>
      </c>
      <c r="CQ319" s="399">
        <v>31</v>
      </c>
      <c r="CR319" s="399">
        <v>2.9191498884028277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1.0006318960103719</v>
      </c>
      <c r="DA319" s="399">
        <v>0</v>
      </c>
      <c r="DB319" s="399">
        <v>0</v>
      </c>
      <c r="DC319" s="399">
        <v>2.1199998361742445</v>
      </c>
      <c r="DD319" s="399">
        <v>0</v>
      </c>
      <c r="DE319" s="399">
        <v>0</v>
      </c>
      <c r="DF319" s="399">
        <v>0</v>
      </c>
      <c r="DG319" s="399">
        <v>2.1645753172385179E-2</v>
      </c>
      <c r="DH319" s="399">
        <v>0</v>
      </c>
      <c r="DI319" s="399">
        <v>-0.19373014689312917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-2.3410317891907395E-2</v>
      </c>
      <c r="DP319" s="399">
        <v>-5.9871321691334495E-3</v>
      </c>
      <c r="DQ319" s="399">
        <v>0</v>
      </c>
      <c r="DR319" s="399">
        <v>0</v>
      </c>
      <c r="DS319" s="399"/>
      <c r="DT319" s="399"/>
      <c r="DU319" s="399"/>
      <c r="DV319" s="399">
        <v>68.031283348527481</v>
      </c>
      <c r="DW319" s="399">
        <v>0</v>
      </c>
      <c r="DX319" s="399">
        <v>0</v>
      </c>
      <c r="DY319" s="399">
        <v>-29.051100000000005</v>
      </c>
      <c r="DZ319" s="399">
        <v>2.1200399999999995</v>
      </c>
      <c r="EA319" s="399">
        <v>0</v>
      </c>
      <c r="EB319" s="399">
        <v>0</v>
      </c>
      <c r="EC319" s="399">
        <v>-29.850243101939441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216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319</v>
      </c>
      <c r="B320" s="399" t="s">
        <v>954</v>
      </c>
      <c r="C320" s="399" t="s">
        <v>2361</v>
      </c>
      <c r="D320" s="399" t="s">
        <v>1824</v>
      </c>
      <c r="E320" s="399" t="s">
        <v>916</v>
      </c>
      <c r="F320" s="399" t="s">
        <v>1237</v>
      </c>
      <c r="G320" s="399" t="s">
        <v>1237</v>
      </c>
      <c r="H320" s="399" t="s">
        <v>1237</v>
      </c>
      <c r="I320" s="399" t="s">
        <v>2327</v>
      </c>
      <c r="J320" s="399" t="s">
        <v>2353</v>
      </c>
      <c r="K320" s="789">
        <v>44682</v>
      </c>
      <c r="L320" s="399">
        <v>0</v>
      </c>
      <c r="M320" s="399">
        <v>0</v>
      </c>
      <c r="N320" s="399">
        <v>0.84199999999999997</v>
      </c>
      <c r="O320" s="399">
        <v>0.84199999999999997</v>
      </c>
      <c r="P320" s="399">
        <v>0.84199999999999997</v>
      </c>
      <c r="Q320" s="399">
        <v>0.84199999999999997</v>
      </c>
      <c r="R320" s="399"/>
      <c r="S320" s="399">
        <v>309.91000000000003</v>
      </c>
      <c r="T320" s="399">
        <v>215.17</v>
      </c>
      <c r="U320" s="399"/>
      <c r="V320" s="399">
        <v>442.11736000000002</v>
      </c>
      <c r="W320" s="399">
        <v>442.11736000000002</v>
      </c>
      <c r="X320" s="399">
        <v>400.5394</v>
      </c>
      <c r="Y320" s="399">
        <v>0</v>
      </c>
      <c r="Z320" s="399">
        <v>51.434915595305625</v>
      </c>
      <c r="AA320" s="399">
        <v>0</v>
      </c>
      <c r="AB320" s="399">
        <v>0</v>
      </c>
      <c r="AC320" s="399">
        <v>0</v>
      </c>
      <c r="AD320" s="399">
        <v>51.881236480935144</v>
      </c>
      <c r="AE320" s="399">
        <v>146.87793560438385</v>
      </c>
      <c r="AF320" s="399">
        <v>177.46155144628457</v>
      </c>
      <c r="AG320" s="399">
        <v>3.7106724742504738</v>
      </c>
      <c r="AH320" s="399">
        <v>0</v>
      </c>
      <c r="AI320" s="399">
        <v>0</v>
      </c>
      <c r="AJ320" s="399">
        <v>0</v>
      </c>
      <c r="AK320" s="399">
        <v>0</v>
      </c>
      <c r="AL320" s="399">
        <v>7.9480138329226495</v>
      </c>
      <c r="AM320" s="399"/>
      <c r="AN320" s="399">
        <v>0.9913686771836252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1.8119288853940352</v>
      </c>
      <c r="BH320" s="399">
        <v>0</v>
      </c>
      <c r="BI320" s="399">
        <v>0</v>
      </c>
      <c r="BJ320" s="399">
        <v>0</v>
      </c>
      <c r="BK320" s="399">
        <v>0</v>
      </c>
      <c r="BL320" s="399">
        <v>0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179.2734803316786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399.58799999999997</v>
      </c>
      <c r="CJ320" s="399">
        <v>-42.559360000000027</v>
      </c>
      <c r="CK320" s="399"/>
      <c r="CL320" s="399"/>
      <c r="CM320" s="399"/>
      <c r="CN320" s="399"/>
      <c r="CO320" s="399">
        <v>-64.463520000000017</v>
      </c>
      <c r="CP320" s="399">
        <v>22.885560000000005</v>
      </c>
      <c r="CQ320" s="399">
        <v>31</v>
      </c>
      <c r="CR320" s="399">
        <v>22.869566030671194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2.1594102666397177</v>
      </c>
      <c r="DA320" s="399">
        <v>0</v>
      </c>
      <c r="DB320" s="399">
        <v>0</v>
      </c>
      <c r="DC320" s="399">
        <v>22.885126436650182</v>
      </c>
      <c r="DD320" s="399">
        <v>0</v>
      </c>
      <c r="DE320" s="399">
        <v>0</v>
      </c>
      <c r="DF320" s="399">
        <v>0</v>
      </c>
      <c r="DG320" s="399">
        <v>0.23366313039933773</v>
      </c>
      <c r="DH320" s="399">
        <v>0</v>
      </c>
      <c r="DI320" s="399">
        <v>-2.0912920985130157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-0.25271138032033402</v>
      </c>
      <c r="DP320" s="399">
        <v>-6.4630324184748233E-2</v>
      </c>
      <c r="DQ320" s="399">
        <v>0</v>
      </c>
      <c r="DR320" s="399">
        <v>0</v>
      </c>
      <c r="DS320" s="399"/>
      <c r="DT320" s="399"/>
      <c r="DU320" s="399"/>
      <c r="DV320" s="399">
        <v>146.87793560438385</v>
      </c>
      <c r="DW320" s="399">
        <v>0</v>
      </c>
      <c r="DX320" s="399">
        <v>0</v>
      </c>
      <c r="DY320" s="399">
        <v>-64.463520000000045</v>
      </c>
      <c r="DZ320" s="399">
        <v>22.885559999999998</v>
      </c>
      <c r="EA320" s="399">
        <v>0</v>
      </c>
      <c r="EB320" s="399">
        <v>0</v>
      </c>
      <c r="EC320" s="399">
        <v>-64.445970563875349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216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320</v>
      </c>
      <c r="B321" s="399" t="s">
        <v>954</v>
      </c>
      <c r="C321" s="399" t="s">
        <v>2361</v>
      </c>
      <c r="D321" s="399" t="s">
        <v>1824</v>
      </c>
      <c r="E321" s="399" t="s">
        <v>916</v>
      </c>
      <c r="F321" s="399" t="s">
        <v>1237</v>
      </c>
      <c r="G321" s="399" t="s">
        <v>1237</v>
      </c>
      <c r="H321" s="399" t="s">
        <v>1237</v>
      </c>
      <c r="I321" s="399" t="s">
        <v>1237</v>
      </c>
      <c r="J321" s="399" t="s">
        <v>2353</v>
      </c>
      <c r="K321" s="789">
        <v>44682</v>
      </c>
      <c r="L321" s="399">
        <v>0</v>
      </c>
      <c r="M321" s="399">
        <v>0</v>
      </c>
      <c r="N321" s="399">
        <v>0</v>
      </c>
      <c r="O321" s="399">
        <v>0</v>
      </c>
      <c r="P321" s="399">
        <v>0</v>
      </c>
      <c r="Q321" s="399">
        <v>0</v>
      </c>
      <c r="R321" s="399"/>
      <c r="S321" s="399"/>
      <c r="T321" s="399"/>
      <c r="U321" s="399"/>
      <c r="V321" s="399"/>
      <c r="W321" s="399"/>
      <c r="X321" s="399"/>
      <c r="Y321" s="399"/>
      <c r="Z321" s="399"/>
      <c r="AA321" s="399">
        <v>0</v>
      </c>
      <c r="AB321" s="399"/>
      <c r="AC321" s="399"/>
      <c r="AD321" s="399"/>
      <c r="AE321" s="399"/>
      <c r="AF321" s="399"/>
      <c r="AG321" s="399"/>
      <c r="AH321" s="399"/>
      <c r="AI321" s="399"/>
      <c r="AJ321" s="399"/>
      <c r="AK321" s="399"/>
      <c r="AL321" s="399"/>
      <c r="AM321" s="399"/>
      <c r="AN321" s="399"/>
      <c r="AO321" s="399"/>
      <c r="AP321" s="399"/>
      <c r="AQ321" s="399"/>
      <c r="AR321" s="399"/>
      <c r="AS321" s="399"/>
      <c r="AT321" s="399"/>
      <c r="AU321" s="399"/>
      <c r="AV321" s="399"/>
      <c r="AW321" s="399"/>
      <c r="AX321" s="399"/>
      <c r="AY321" s="399"/>
      <c r="AZ321" s="399">
        <v>0</v>
      </c>
      <c r="BA321" s="399"/>
      <c r="BB321" s="399"/>
      <c r="BC321" s="399"/>
      <c r="BD321" s="399"/>
      <c r="BE321" s="399"/>
      <c r="BF321" s="399"/>
      <c r="BG321" s="399"/>
      <c r="BH321" s="399"/>
      <c r="BI321" s="399">
        <v>0</v>
      </c>
      <c r="BJ321" s="399">
        <v>0</v>
      </c>
      <c r="BK321" s="399">
        <v>179.76</v>
      </c>
      <c r="BL321" s="399">
        <v>1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/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/>
      <c r="CJ321" s="399">
        <v>-0.03</v>
      </c>
      <c r="CK321" s="399"/>
      <c r="CL321" s="399"/>
      <c r="CM321" s="399"/>
      <c r="CN321" s="399"/>
      <c r="CO321" s="399">
        <v>0</v>
      </c>
      <c r="CP321" s="399">
        <v>0</v>
      </c>
      <c r="CQ321" s="399">
        <v>31</v>
      </c>
      <c r="CR321" s="399"/>
      <c r="CS321" s="399"/>
      <c r="CT321" s="399"/>
      <c r="CU321" s="399"/>
      <c r="CV321" s="399"/>
      <c r="CW321" s="399"/>
      <c r="CX321" s="399"/>
      <c r="CY321" s="399"/>
      <c r="CZ321" s="399"/>
      <c r="DA321" s="399"/>
      <c r="DB321" s="399"/>
      <c r="DC321" s="399"/>
      <c r="DD321" s="399"/>
      <c r="DE321" s="399"/>
      <c r="DF321" s="399"/>
      <c r="DG321" s="399"/>
      <c r="DH321" s="399"/>
      <c r="DI321" s="399"/>
      <c r="DJ321" s="399"/>
      <c r="DK321" s="399">
        <v>0</v>
      </c>
      <c r="DL321" s="399"/>
      <c r="DM321" s="399"/>
      <c r="DN321" s="399"/>
      <c r="DO321" s="399"/>
      <c r="DP321" s="399"/>
      <c r="DQ321" s="399"/>
      <c r="DR321" s="399"/>
      <c r="DS321" s="399"/>
      <c r="DT321" s="399"/>
      <c r="DU321" s="399"/>
      <c r="DV321" s="399"/>
      <c r="DW321" s="399"/>
      <c r="DX321" s="399"/>
      <c r="DY321" s="399"/>
      <c r="DZ321" s="399"/>
      <c r="EA321" s="399"/>
      <c r="EB321" s="399"/>
      <c r="EC321" s="399"/>
      <c r="ED321" s="399"/>
      <c r="EE321" s="399"/>
      <c r="EF321" s="399"/>
      <c r="EG321" s="399"/>
      <c r="EH321" s="399"/>
      <c r="EI321" s="399"/>
      <c r="EJ321" s="399"/>
      <c r="EK321" s="399"/>
      <c r="EL321" s="399"/>
      <c r="EM321" s="399"/>
      <c r="EN321" s="399"/>
      <c r="EO321" s="399"/>
      <c r="EP321" s="399"/>
      <c r="EQ321" s="399"/>
      <c r="ER321" s="399"/>
      <c r="ES321" s="399"/>
      <c r="ET321" s="399"/>
      <c r="EU321" s="399"/>
      <c r="EV321" s="399">
        <v>216</v>
      </c>
      <c r="EW321" s="399"/>
      <c r="EX321" s="399"/>
      <c r="EY321" s="399"/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321</v>
      </c>
      <c r="B322" s="399" t="s">
        <v>954</v>
      </c>
      <c r="C322" s="399" t="s">
        <v>2361</v>
      </c>
      <c r="D322" s="399" t="s">
        <v>1824</v>
      </c>
      <c r="E322" s="399" t="s">
        <v>916</v>
      </c>
      <c r="F322" s="399" t="s">
        <v>1237</v>
      </c>
      <c r="G322" s="399" t="s">
        <v>1237</v>
      </c>
      <c r="H322" s="399" t="s">
        <v>1237</v>
      </c>
      <c r="I322" s="399" t="s">
        <v>2362</v>
      </c>
      <c r="J322" s="399" t="s">
        <v>2353</v>
      </c>
      <c r="K322" s="789">
        <v>44682</v>
      </c>
      <c r="L322" s="399">
        <v>0</v>
      </c>
      <c r="M322" s="399">
        <v>0</v>
      </c>
      <c r="N322" s="399">
        <v>5.1999999999999998E-2</v>
      </c>
      <c r="O322" s="399">
        <v>5.1999999999999998E-2</v>
      </c>
      <c r="P322" s="399">
        <v>5.1999999999999998E-2</v>
      </c>
      <c r="Q322" s="399">
        <v>5.1999999999999998E-2</v>
      </c>
      <c r="R322" s="399"/>
      <c r="S322" s="399">
        <v>782.07</v>
      </c>
      <c r="T322" s="399">
        <v>215.17</v>
      </c>
      <c r="U322" s="399"/>
      <c r="V322" s="399">
        <v>51.856479999999998</v>
      </c>
      <c r="W322" s="399">
        <v>51.856479999999998</v>
      </c>
      <c r="X322" s="399">
        <v>41.595320000000001</v>
      </c>
      <c r="Y322" s="399">
        <v>0</v>
      </c>
      <c r="Z322" s="399">
        <v>3.1765031008977345</v>
      </c>
      <c r="AA322" s="399">
        <v>0</v>
      </c>
      <c r="AB322" s="399">
        <v>0</v>
      </c>
      <c r="AC322" s="399">
        <v>0</v>
      </c>
      <c r="AD322" s="399">
        <v>9.6144963196870119</v>
      </c>
      <c r="AE322" s="399">
        <v>27.212509039628795</v>
      </c>
      <c r="AF322" s="399">
        <v>10.959620754402373</v>
      </c>
      <c r="AG322" s="399">
        <v>0.22916267061879411</v>
      </c>
      <c r="AH322" s="399">
        <v>0</v>
      </c>
      <c r="AI322" s="399">
        <v>0</v>
      </c>
      <c r="AJ322" s="399">
        <v>0</v>
      </c>
      <c r="AK322" s="399">
        <v>0</v>
      </c>
      <c r="AL322" s="399">
        <v>0.49085121058429665</v>
      </c>
      <c r="AM322" s="399"/>
      <c r="AN322" s="399">
        <v>6.1224668899701316E-2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0.11190059624761263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11.071521350649986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39.9955</v>
      </c>
      <c r="CJ322" s="399">
        <v>-11.890979999999992</v>
      </c>
      <c r="CK322" s="399"/>
      <c r="CL322" s="399"/>
      <c r="CM322" s="399"/>
      <c r="CN322" s="399"/>
      <c r="CO322" s="399">
        <v>-11.674520000000005</v>
      </c>
      <c r="CP322" s="399">
        <v>1.4133600000000004</v>
      </c>
      <c r="CQ322" s="399">
        <v>31</v>
      </c>
      <c r="CR322" s="399">
        <v>1.6791883104818162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0.40017631555350874</v>
      </c>
      <c r="DA322" s="399">
        <v>0</v>
      </c>
      <c r="DB322" s="399">
        <v>0</v>
      </c>
      <c r="DC322" s="399">
        <v>1.4133332241161636</v>
      </c>
      <c r="DD322" s="399">
        <v>0</v>
      </c>
      <c r="DE322" s="399">
        <v>0</v>
      </c>
      <c r="DF322" s="399">
        <v>0</v>
      </c>
      <c r="DG322" s="399">
        <v>1.4430502114923457E-2</v>
      </c>
      <c r="DH322" s="399">
        <v>0</v>
      </c>
      <c r="DI322" s="399">
        <v>-0.12915343126208656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-1.5606878594604967E-2</v>
      </c>
      <c r="DP322" s="399">
        <v>-3.9914214460889663E-3</v>
      </c>
      <c r="DQ322" s="399">
        <v>0</v>
      </c>
      <c r="DR322" s="399">
        <v>0</v>
      </c>
      <c r="DS322" s="399"/>
      <c r="DT322" s="399"/>
      <c r="DU322" s="399"/>
      <c r="DV322" s="399">
        <v>27.212509039628795</v>
      </c>
      <c r="DW322" s="399">
        <v>0</v>
      </c>
      <c r="DX322" s="399">
        <v>0</v>
      </c>
      <c r="DY322" s="399">
        <v>-11.674520000000001</v>
      </c>
      <c r="DZ322" s="399">
        <v>1.4133600000000008</v>
      </c>
      <c r="EA322" s="399">
        <v>0</v>
      </c>
      <c r="EB322" s="399">
        <v>0</v>
      </c>
      <c r="EC322" s="399">
        <v>-11.940095354150445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216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322</v>
      </c>
      <c r="B323" s="399" t="s">
        <v>954</v>
      </c>
      <c r="C323" s="399" t="s">
        <v>2352</v>
      </c>
      <c r="D323" s="399" t="s">
        <v>2363</v>
      </c>
      <c r="E323" s="399" t="s">
        <v>892</v>
      </c>
      <c r="F323" s="399" t="s">
        <v>1237</v>
      </c>
      <c r="G323" s="399" t="s">
        <v>1237</v>
      </c>
      <c r="H323" s="399" t="s">
        <v>1237</v>
      </c>
      <c r="I323" s="399" t="s">
        <v>1237</v>
      </c>
      <c r="J323" s="399" t="s">
        <v>2353</v>
      </c>
      <c r="K323" s="789">
        <v>44682</v>
      </c>
      <c r="L323" s="399">
        <v>0</v>
      </c>
      <c r="M323" s="399">
        <v>0</v>
      </c>
      <c r="N323" s="399">
        <v>404.67</v>
      </c>
      <c r="O323" s="399">
        <v>404.67</v>
      </c>
      <c r="P323" s="399">
        <v>404.67</v>
      </c>
      <c r="Q323" s="399">
        <v>404.67</v>
      </c>
      <c r="R323" s="399"/>
      <c r="S323" s="399">
        <v>415.98</v>
      </c>
      <c r="T323" s="399">
        <v>215.17</v>
      </c>
      <c r="U323" s="399"/>
      <c r="V323" s="399">
        <v>255407.4705</v>
      </c>
      <c r="W323" s="399">
        <v>255407.4705</v>
      </c>
      <c r="X323" s="399">
        <v>221977.68180000002</v>
      </c>
      <c r="Y323" s="399">
        <v>0</v>
      </c>
      <c r="Z323" s="399">
        <v>24719.913650774735</v>
      </c>
      <c r="AA323" s="399">
        <v>0</v>
      </c>
      <c r="AB323" s="399">
        <v>0</v>
      </c>
      <c r="AC323" s="399">
        <v>0</v>
      </c>
      <c r="AD323" s="399">
        <v>36143.334708521776</v>
      </c>
      <c r="AE323" s="399">
        <v>102304.82171540498</v>
      </c>
      <c r="AF323" s="399">
        <v>85289.033282384771</v>
      </c>
      <c r="AG323" s="399">
        <v>1783.3703446020659</v>
      </c>
      <c r="AH323" s="399">
        <v>0</v>
      </c>
      <c r="AI323" s="399">
        <v>0</v>
      </c>
      <c r="AJ323" s="399">
        <v>0</v>
      </c>
      <c r="AK323" s="399">
        <v>0</v>
      </c>
      <c r="AL323" s="399">
        <v>3819.8607574451412</v>
      </c>
      <c r="AM323" s="399"/>
      <c r="AN323" s="399">
        <v>476.45743776234872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870.82335160618095</v>
      </c>
      <c r="BH323" s="399">
        <v>0</v>
      </c>
      <c r="BI323" s="399">
        <v>0</v>
      </c>
      <c r="BJ323" s="399">
        <v>0</v>
      </c>
      <c r="BK323" s="399">
        <v>45541.07</v>
      </c>
      <c r="BL323" s="399">
        <v>1557</v>
      </c>
      <c r="BM323" s="399"/>
      <c r="BN323" s="399"/>
      <c r="BO323" s="399"/>
      <c r="BP323" s="399"/>
      <c r="BQ323" s="399"/>
      <c r="BR323" s="399">
        <v>26635.379399999998</v>
      </c>
      <c r="BS323" s="399"/>
      <c r="BT323" s="399"/>
      <c r="BU323" s="399"/>
      <c r="BV323" s="399">
        <v>86159.856633990945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195342.30240000002</v>
      </c>
      <c r="CJ323" s="399">
        <v>-29415.492300000013</v>
      </c>
      <c r="CK323" s="399"/>
      <c r="CL323" s="399"/>
      <c r="CM323" s="399"/>
      <c r="CN323" s="399"/>
      <c r="CO323" s="399">
        <v>-44428.719300000012</v>
      </c>
      <c r="CP323" s="399">
        <v>10998.930600000003</v>
      </c>
      <c r="CQ323" s="399">
        <v>31</v>
      </c>
      <c r="CR323" s="399">
        <v>11457.783377777698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1504.3644549384917</v>
      </c>
      <c r="DA323" s="399">
        <v>0</v>
      </c>
      <c r="DB323" s="399">
        <v>0</v>
      </c>
      <c r="DC323" s="399">
        <v>10998.722226982471</v>
      </c>
      <c r="DD323" s="399">
        <v>0</v>
      </c>
      <c r="DE323" s="399">
        <v>0</v>
      </c>
      <c r="DF323" s="399">
        <v>0</v>
      </c>
      <c r="DG323" s="399">
        <v>112.29983251627061</v>
      </c>
      <c r="DH323" s="399">
        <v>0</v>
      </c>
      <c r="DI323" s="399">
        <v>-1005.0869044005485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-121.45453001689975</v>
      </c>
      <c r="DP323" s="399">
        <v>-31.061702242092736</v>
      </c>
      <c r="DQ323" s="399">
        <v>0</v>
      </c>
      <c r="DR323" s="399">
        <v>0</v>
      </c>
      <c r="DS323" s="399"/>
      <c r="DT323" s="399"/>
      <c r="DU323" s="399"/>
      <c r="DV323" s="399">
        <v>102304.82171540498</v>
      </c>
      <c r="DW323" s="399">
        <v>0</v>
      </c>
      <c r="DX323" s="399">
        <v>0</v>
      </c>
      <c r="DY323" s="399">
        <v>-44428.719300000012</v>
      </c>
      <c r="DZ323" s="399">
        <v>10998.930600000007</v>
      </c>
      <c r="EA323" s="399">
        <v>0</v>
      </c>
      <c r="EB323" s="399">
        <v>0</v>
      </c>
      <c r="EC323" s="399">
        <v>-44888.522579539313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216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323</v>
      </c>
      <c r="B324" s="399" t="s">
        <v>2354</v>
      </c>
      <c r="C324" s="399" t="s">
        <v>2352</v>
      </c>
      <c r="D324" s="399" t="s">
        <v>2363</v>
      </c>
      <c r="E324" s="399" t="s">
        <v>892</v>
      </c>
      <c r="F324" s="399" t="s">
        <v>1237</v>
      </c>
      <c r="G324" s="399" t="s">
        <v>1237</v>
      </c>
      <c r="H324" s="399" t="s">
        <v>1237</v>
      </c>
      <c r="I324" s="399" t="s">
        <v>1237</v>
      </c>
      <c r="J324" s="399" t="s">
        <v>2353</v>
      </c>
      <c r="K324" s="789">
        <v>44682</v>
      </c>
      <c r="L324" s="399">
        <v>0</v>
      </c>
      <c r="M324" s="399">
        <v>0</v>
      </c>
      <c r="N324" s="399">
        <v>-0.159</v>
      </c>
      <c r="O324" s="399">
        <v>-0.159</v>
      </c>
      <c r="P324" s="399">
        <v>-0.159</v>
      </c>
      <c r="Q324" s="399">
        <v>-0.159</v>
      </c>
      <c r="R324" s="399"/>
      <c r="S324" s="399">
        <v>415.98</v>
      </c>
      <c r="T324" s="399">
        <v>215.17</v>
      </c>
      <c r="U324" s="399"/>
      <c r="V324" s="399">
        <v>-100.35285</v>
      </c>
      <c r="W324" s="399">
        <v>-100.35285</v>
      </c>
      <c r="X324" s="399">
        <v>-87.217860000000002</v>
      </c>
      <c r="Y324" s="399">
        <v>0</v>
      </c>
      <c r="Z324" s="399">
        <v>-9.7127690969757658</v>
      </c>
      <c r="AA324" s="399">
        <v>0</v>
      </c>
      <c r="AB324" s="399">
        <v>0</v>
      </c>
      <c r="AC324" s="399">
        <v>0</v>
      </c>
      <c r="AD324" s="399">
        <v>-14.201176807410885</v>
      </c>
      <c r="AE324" s="399">
        <v>-40.196868195688815</v>
      </c>
      <c r="AF324" s="399">
        <v>-33.511148075961103</v>
      </c>
      <c r="AG324" s="399">
        <v>-0.70070893516131283</v>
      </c>
      <c r="AH324" s="399">
        <v>0</v>
      </c>
      <c r="AI324" s="399">
        <v>0</v>
      </c>
      <c r="AJ324" s="399">
        <v>0</v>
      </c>
      <c r="AK324" s="399">
        <v>0</v>
      </c>
      <c r="AL324" s="399">
        <v>-1.5008719708250609</v>
      </c>
      <c r="AM324" s="399"/>
      <c r="AN324" s="399">
        <v>-0.1872061991356252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-0.34215759237250787</v>
      </c>
      <c r="BH324" s="399">
        <v>0</v>
      </c>
      <c r="BI324" s="399">
        <v>0</v>
      </c>
      <c r="BJ324" s="399">
        <v>0</v>
      </c>
      <c r="BK324" s="399">
        <v>-14.97</v>
      </c>
      <c r="BL324" s="399">
        <v>0</v>
      </c>
      <c r="BM324" s="399"/>
      <c r="BN324" s="399"/>
      <c r="BO324" s="399"/>
      <c r="BP324" s="399"/>
      <c r="BQ324" s="399"/>
      <c r="BR324" s="399">
        <v>-10.46538</v>
      </c>
      <c r="BS324" s="399"/>
      <c r="BT324" s="399"/>
      <c r="BU324" s="399"/>
      <c r="BV324" s="399">
        <v>-33.853305668333611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-77.235200000000006</v>
      </c>
      <c r="CJ324" s="399">
        <v>11.044989999999999</v>
      </c>
      <c r="CK324" s="399"/>
      <c r="CL324" s="399"/>
      <c r="CM324" s="399"/>
      <c r="CN324" s="399"/>
      <c r="CO324" s="399">
        <v>17.456610000000005</v>
      </c>
      <c r="CP324" s="399">
        <v>-4.3216200000000011</v>
      </c>
      <c r="CQ324" s="399">
        <v>31</v>
      </c>
      <c r="CR324" s="399">
        <v>-4.5019091038788517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-0.59108396554036524</v>
      </c>
      <c r="DA324" s="399">
        <v>0</v>
      </c>
      <c r="DB324" s="399">
        <v>0</v>
      </c>
      <c r="DC324" s="399">
        <v>-4.3215381275859599</v>
      </c>
      <c r="DD324" s="399">
        <v>0</v>
      </c>
      <c r="DE324" s="399">
        <v>0</v>
      </c>
      <c r="DF324" s="399">
        <v>0</v>
      </c>
      <c r="DG324" s="399">
        <v>-4.4124035312939014E-2</v>
      </c>
      <c r="DH324" s="399">
        <v>0</v>
      </c>
      <c r="DI324" s="399">
        <v>0.39491145328215005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4.7721032625811288E-2</v>
      </c>
      <c r="DP324" s="399">
        <v>1.2204538652464347E-2</v>
      </c>
      <c r="DQ324" s="399">
        <v>0</v>
      </c>
      <c r="DR324" s="399">
        <v>0</v>
      </c>
      <c r="DS324" s="399"/>
      <c r="DT324" s="399"/>
      <c r="DU324" s="399"/>
      <c r="DV324" s="399">
        <v>-40.196868195688815</v>
      </c>
      <c r="DW324" s="399">
        <v>0</v>
      </c>
      <c r="DX324" s="399">
        <v>0</v>
      </c>
      <c r="DY324" s="399">
        <v>17.456610000000005</v>
      </c>
      <c r="DZ324" s="399">
        <v>-4.3216200000000029</v>
      </c>
      <c r="EA324" s="399">
        <v>0</v>
      </c>
      <c r="EB324" s="399">
        <v>0</v>
      </c>
      <c r="EC324" s="399">
        <v>17.637272568133916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216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324</v>
      </c>
      <c r="B325" s="399" t="s">
        <v>2355</v>
      </c>
      <c r="C325" s="399" t="s">
        <v>2352</v>
      </c>
      <c r="D325" s="399" t="s">
        <v>2363</v>
      </c>
      <c r="E325" s="399" t="s">
        <v>892</v>
      </c>
      <c r="F325" s="399" t="s">
        <v>1237</v>
      </c>
      <c r="G325" s="399" t="s">
        <v>1237</v>
      </c>
      <c r="H325" s="399" t="s">
        <v>1237</v>
      </c>
      <c r="I325" s="399" t="s">
        <v>1237</v>
      </c>
      <c r="J325" s="399" t="s">
        <v>2353</v>
      </c>
      <c r="K325" s="789">
        <v>44682</v>
      </c>
      <c r="L325" s="399">
        <v>0</v>
      </c>
      <c r="M325" s="399">
        <v>0</v>
      </c>
      <c r="N325" s="399">
        <v>4.9390000000000001</v>
      </c>
      <c r="O325" s="399">
        <v>4.9390000000000001</v>
      </c>
      <c r="P325" s="399">
        <v>4.9390000000000001</v>
      </c>
      <c r="Q325" s="399">
        <v>4.9390000000000001</v>
      </c>
      <c r="R325" s="399"/>
      <c r="S325" s="399">
        <v>415.98</v>
      </c>
      <c r="T325" s="399">
        <v>215.17</v>
      </c>
      <c r="U325" s="399"/>
      <c r="V325" s="399">
        <v>3117.2498500000002</v>
      </c>
      <c r="W325" s="399">
        <v>3117.2498500000002</v>
      </c>
      <c r="X325" s="399">
        <v>2709.2390599999999</v>
      </c>
      <c r="Y325" s="399">
        <v>0</v>
      </c>
      <c r="Z325" s="399">
        <v>301.70670798719061</v>
      </c>
      <c r="AA325" s="399">
        <v>0</v>
      </c>
      <c r="AB325" s="399">
        <v>0</v>
      </c>
      <c r="AC325" s="399">
        <v>0</v>
      </c>
      <c r="AD325" s="399">
        <v>441.1296368037884</v>
      </c>
      <c r="AE325" s="399">
        <v>1248.6310189843211</v>
      </c>
      <c r="AF325" s="399">
        <v>1040.9532097306408</v>
      </c>
      <c r="AG325" s="399">
        <v>21.766046734350464</v>
      </c>
      <c r="AH325" s="399">
        <v>0</v>
      </c>
      <c r="AI325" s="399">
        <v>0</v>
      </c>
      <c r="AJ325" s="399">
        <v>0</v>
      </c>
      <c r="AK325" s="399">
        <v>0</v>
      </c>
      <c r="AL325" s="399">
        <v>46.621425559150794</v>
      </c>
      <c r="AM325" s="399"/>
      <c r="AN325" s="399">
        <v>5.8151661479927848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10.628404708979977</v>
      </c>
      <c r="BH325" s="399">
        <v>0</v>
      </c>
      <c r="BI325" s="399">
        <v>0</v>
      </c>
      <c r="BJ325" s="399">
        <v>0</v>
      </c>
      <c r="BK325" s="399">
        <v>2305.96</v>
      </c>
      <c r="BL325" s="399">
        <v>21</v>
      </c>
      <c r="BM325" s="399"/>
      <c r="BN325" s="399"/>
      <c r="BO325" s="399"/>
      <c r="BP325" s="399"/>
      <c r="BQ325" s="399"/>
      <c r="BR325" s="399">
        <v>325.08497999999997</v>
      </c>
      <c r="BS325" s="399"/>
      <c r="BT325" s="399"/>
      <c r="BU325" s="399"/>
      <c r="BV325" s="399">
        <v>1051.5816144396208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2384.6368000000002</v>
      </c>
      <c r="CJ325" s="399">
        <v>-358.56318999999985</v>
      </c>
      <c r="CK325" s="399"/>
      <c r="CL325" s="399"/>
      <c r="CM325" s="399"/>
      <c r="CN325" s="399"/>
      <c r="CO325" s="399">
        <v>-542.25281000000007</v>
      </c>
      <c r="CP325" s="399">
        <v>134.24202000000002</v>
      </c>
      <c r="CQ325" s="399">
        <v>31</v>
      </c>
      <c r="CR325" s="399">
        <v>139.84232115759482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18.360778023923729</v>
      </c>
      <c r="DA325" s="399">
        <v>0</v>
      </c>
      <c r="DB325" s="399">
        <v>0</v>
      </c>
      <c r="DC325" s="399">
        <v>134.23947680595643</v>
      </c>
      <c r="DD325" s="399">
        <v>0</v>
      </c>
      <c r="DE325" s="399">
        <v>0</v>
      </c>
      <c r="DF325" s="399">
        <v>0</v>
      </c>
      <c r="DG325" s="399">
        <v>1.370620191261672</v>
      </c>
      <c r="DH325" s="399">
        <v>0</v>
      </c>
      <c r="DI325" s="399">
        <v>-12.267092250066241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-1.482353334206806</v>
      </c>
      <c r="DP325" s="399">
        <v>-0.37910827927371926</v>
      </c>
      <c r="DQ325" s="399">
        <v>0</v>
      </c>
      <c r="DR325" s="399">
        <v>0</v>
      </c>
      <c r="DS325" s="399"/>
      <c r="DT325" s="399"/>
      <c r="DU325" s="399"/>
      <c r="DV325" s="399">
        <v>1248.6310189843211</v>
      </c>
      <c r="DW325" s="399">
        <v>0</v>
      </c>
      <c r="DX325" s="399">
        <v>0</v>
      </c>
      <c r="DY325" s="399">
        <v>-542.25280999999995</v>
      </c>
      <c r="DZ325" s="399">
        <v>134.24202000000014</v>
      </c>
      <c r="EA325" s="399">
        <v>0</v>
      </c>
      <c r="EB325" s="399">
        <v>0</v>
      </c>
      <c r="EC325" s="399">
        <v>-547.86471203782025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216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325</v>
      </c>
      <c r="B326" s="399" t="s">
        <v>954</v>
      </c>
      <c r="C326" s="399" t="s">
        <v>2352</v>
      </c>
      <c r="D326" s="399" t="s">
        <v>1824</v>
      </c>
      <c r="E326" s="399" t="s">
        <v>2364</v>
      </c>
      <c r="F326" s="399" t="s">
        <v>1237</v>
      </c>
      <c r="G326" s="399" t="s">
        <v>1237</v>
      </c>
      <c r="H326" s="399" t="s">
        <v>1237</v>
      </c>
      <c r="I326" s="399" t="s">
        <v>1237</v>
      </c>
      <c r="J326" s="399" t="s">
        <v>2353</v>
      </c>
      <c r="K326" s="789">
        <v>44682</v>
      </c>
      <c r="L326" s="399">
        <v>0</v>
      </c>
      <c r="M326" s="399">
        <v>0</v>
      </c>
      <c r="N326" s="399">
        <v>25.387</v>
      </c>
      <c r="O326" s="399">
        <v>25.387</v>
      </c>
      <c r="P326" s="399">
        <v>25.387</v>
      </c>
      <c r="Q326" s="399">
        <v>25.387</v>
      </c>
      <c r="R326" s="399"/>
      <c r="S326" s="399">
        <v>415.98</v>
      </c>
      <c r="T326" s="399">
        <v>215.17</v>
      </c>
      <c r="U326" s="399"/>
      <c r="V326" s="399">
        <v>16023.00505</v>
      </c>
      <c r="W326" s="399">
        <v>16023.00505</v>
      </c>
      <c r="X326" s="399">
        <v>13925.78498</v>
      </c>
      <c r="Y326" s="399">
        <v>0</v>
      </c>
      <c r="Z326" s="399">
        <v>1550.8054658171304</v>
      </c>
      <c r="AA326" s="399">
        <v>0</v>
      </c>
      <c r="AB326" s="399">
        <v>0</v>
      </c>
      <c r="AC326" s="399">
        <v>0</v>
      </c>
      <c r="AD326" s="399">
        <v>2267.454563583271</v>
      </c>
      <c r="AE326" s="399">
        <v>6418.0999552449803</v>
      </c>
      <c r="AF326" s="399">
        <v>5350.613309461789</v>
      </c>
      <c r="AG326" s="399">
        <v>111.87985998075628</v>
      </c>
      <c r="AH326" s="399">
        <v>0</v>
      </c>
      <c r="AI326" s="399">
        <v>0</v>
      </c>
      <c r="AJ326" s="399">
        <v>0</v>
      </c>
      <c r="AK326" s="399">
        <v>0</v>
      </c>
      <c r="AL326" s="399">
        <v>239.63922467506805</v>
      </c>
      <c r="AM326" s="399"/>
      <c r="AN326" s="399">
        <v>29.890589795321489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54.631162248810426</v>
      </c>
      <c r="BH326" s="399">
        <v>0</v>
      </c>
      <c r="BI326" s="399">
        <v>0</v>
      </c>
      <c r="BJ326" s="399">
        <v>0</v>
      </c>
      <c r="BK326" s="399">
        <v>3838.5</v>
      </c>
      <c r="BL326" s="399">
        <v>50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5405.2444717105991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13927.4306</v>
      </c>
      <c r="CJ326" s="399">
        <v>-2095.6044500000007</v>
      </c>
      <c r="CK326" s="399"/>
      <c r="CL326" s="399"/>
      <c r="CM326" s="399"/>
      <c r="CN326" s="399"/>
      <c r="CO326" s="399">
        <v>-2787.2387300000005</v>
      </c>
      <c r="CP326" s="399">
        <v>690.01866000000018</v>
      </c>
      <c r="CQ326" s="399">
        <v>31</v>
      </c>
      <c r="CR326" s="399">
        <v>718.80482025265701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94.376406497945482</v>
      </c>
      <c r="DA326" s="399">
        <v>0</v>
      </c>
      <c r="DB326" s="399">
        <v>0</v>
      </c>
      <c r="DC326" s="399">
        <v>690.00558770455882</v>
      </c>
      <c r="DD326" s="399">
        <v>0</v>
      </c>
      <c r="DE326" s="399">
        <v>0</v>
      </c>
      <c r="DF326" s="399">
        <v>0</v>
      </c>
      <c r="DG326" s="399">
        <v>7.0451376382992592</v>
      </c>
      <c r="DH326" s="399">
        <v>0</v>
      </c>
      <c r="DI326" s="399">
        <v>-63.054195374049641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-7.6194582092545318</v>
      </c>
      <c r="DP326" s="399">
        <v>-1.9486580048434732</v>
      </c>
      <c r="DQ326" s="399">
        <v>0</v>
      </c>
      <c r="DR326" s="399">
        <v>0</v>
      </c>
      <c r="DS326" s="399"/>
      <c r="DT326" s="399"/>
      <c r="DU326" s="399"/>
      <c r="DV326" s="399">
        <v>6418.0999552449803</v>
      </c>
      <c r="DW326" s="399">
        <v>0</v>
      </c>
      <c r="DX326" s="399">
        <v>0</v>
      </c>
      <c r="DY326" s="399">
        <v>-2787.2387300000009</v>
      </c>
      <c r="DZ326" s="399">
        <v>690.01866000000064</v>
      </c>
      <c r="EA326" s="399">
        <v>0</v>
      </c>
      <c r="EB326" s="399">
        <v>0</v>
      </c>
      <c r="EC326" s="399">
        <v>-2816.0845200453819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216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326</v>
      </c>
      <c r="B327" s="399" t="s">
        <v>954</v>
      </c>
      <c r="C327" s="399" t="s">
        <v>2352</v>
      </c>
      <c r="D327" s="399" t="s">
        <v>2365</v>
      </c>
      <c r="E327" s="399" t="s">
        <v>2366</v>
      </c>
      <c r="F327" s="399" t="s">
        <v>2367</v>
      </c>
      <c r="G327" s="399" t="s">
        <v>1237</v>
      </c>
      <c r="H327" s="399" t="s">
        <v>1237</v>
      </c>
      <c r="I327" s="399" t="s">
        <v>1237</v>
      </c>
      <c r="J327" s="399" t="s">
        <v>2353</v>
      </c>
      <c r="K327" s="789">
        <v>44682</v>
      </c>
      <c r="L327" s="399">
        <v>0</v>
      </c>
      <c r="M327" s="399">
        <v>0</v>
      </c>
      <c r="N327" s="399">
        <v>103.706</v>
      </c>
      <c r="O327" s="399">
        <v>103.706</v>
      </c>
      <c r="P327" s="399">
        <v>103.706</v>
      </c>
      <c r="Q327" s="399">
        <v>103.706</v>
      </c>
      <c r="R327" s="399"/>
      <c r="S327" s="399">
        <v>228.79</v>
      </c>
      <c r="T327" s="399">
        <v>118.34</v>
      </c>
      <c r="U327" s="399"/>
      <c r="V327" s="399">
        <v>35999.463779999998</v>
      </c>
      <c r="W327" s="399">
        <v>35999.463779999998</v>
      </c>
      <c r="X327" s="399">
        <v>31287.063139999998</v>
      </c>
      <c r="Y327" s="399">
        <v>0</v>
      </c>
      <c r="Z327" s="399">
        <v>3484.2757080756719</v>
      </c>
      <c r="AA327" s="399">
        <v>0</v>
      </c>
      <c r="AB327" s="399">
        <v>0</v>
      </c>
      <c r="AC327" s="399">
        <v>0</v>
      </c>
      <c r="AD327" s="399">
        <v>5094.4086987053161</v>
      </c>
      <c r="AE327" s="399">
        <v>14419.880674252589</v>
      </c>
      <c r="AF327" s="399">
        <v>12021.502624535113</v>
      </c>
      <c r="AG327" s="399">
        <v>251.36632991453828</v>
      </c>
      <c r="AH327" s="399">
        <v>0</v>
      </c>
      <c r="AI327" s="399">
        <v>0</v>
      </c>
      <c r="AJ327" s="399">
        <v>0</v>
      </c>
      <c r="AK327" s="399">
        <v>0</v>
      </c>
      <c r="AL327" s="399">
        <v>538.40997316673679</v>
      </c>
      <c r="AM327" s="399"/>
      <c r="AN327" s="399">
        <v>67.156750617343221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122.74268805673407</v>
      </c>
      <c r="BH327" s="399">
        <v>0</v>
      </c>
      <c r="BI327" s="399">
        <v>0</v>
      </c>
      <c r="BJ327" s="399">
        <v>0</v>
      </c>
      <c r="BK327" s="399">
        <v>10497.41</v>
      </c>
      <c r="BL327" s="399">
        <v>87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12144.245312591847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31288.269899999999</v>
      </c>
      <c r="CJ327" s="399">
        <v>-4711.2238799999977</v>
      </c>
      <c r="CK327" s="399"/>
      <c r="CL327" s="399"/>
      <c r="CM327" s="399"/>
      <c r="CN327" s="399"/>
      <c r="CO327" s="399">
        <v>-6262.805339999999</v>
      </c>
      <c r="CP327" s="399">
        <v>1550.4046999999989</v>
      </c>
      <c r="CQ327" s="399">
        <v>31</v>
      </c>
      <c r="CR327" s="399">
        <v>1614.9763650300847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212.04040598540905</v>
      </c>
      <c r="DA327" s="399">
        <v>0</v>
      </c>
      <c r="DB327" s="399">
        <v>0</v>
      </c>
      <c r="DC327" s="399">
        <v>1550.2716237905479</v>
      </c>
      <c r="DD327" s="399">
        <v>0</v>
      </c>
      <c r="DE327" s="399">
        <v>0</v>
      </c>
      <c r="DF327" s="399">
        <v>0</v>
      </c>
      <c r="DG327" s="399">
        <v>15.828679015032435</v>
      </c>
      <c r="DH327" s="399">
        <v>0</v>
      </c>
      <c r="DI327" s="399">
        <v>-141.66715689146076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-17.119035064282571</v>
      </c>
      <c r="DP327" s="399">
        <v>-4.3781518051628225</v>
      </c>
      <c r="DQ327" s="399">
        <v>0</v>
      </c>
      <c r="DR327" s="399">
        <v>0</v>
      </c>
      <c r="DS327" s="399"/>
      <c r="DT327" s="399"/>
      <c r="DU327" s="399"/>
      <c r="DV327" s="399">
        <v>14419.880674252589</v>
      </c>
      <c r="DW327" s="399">
        <v>0</v>
      </c>
      <c r="DX327" s="399">
        <v>0</v>
      </c>
      <c r="DY327" s="399">
        <v>-6262.805339999999</v>
      </c>
      <c r="DZ327" s="399">
        <v>1550.4046999999991</v>
      </c>
      <c r="EA327" s="399">
        <v>0</v>
      </c>
      <c r="EB327" s="399">
        <v>0</v>
      </c>
      <c r="EC327" s="399">
        <v>-6327.0443014024931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216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327</v>
      </c>
      <c r="B328" s="399" t="s">
        <v>954</v>
      </c>
      <c r="C328" s="399" t="s">
        <v>2352</v>
      </c>
      <c r="D328" s="399" t="s">
        <v>1824</v>
      </c>
      <c r="E328" s="399" t="s">
        <v>919</v>
      </c>
      <c r="F328" s="399" t="s">
        <v>2368</v>
      </c>
      <c r="G328" s="399" t="s">
        <v>1237</v>
      </c>
      <c r="H328" s="399" t="s">
        <v>1237</v>
      </c>
      <c r="I328" s="399" t="s">
        <v>1237</v>
      </c>
      <c r="J328" s="399" t="s">
        <v>2353</v>
      </c>
      <c r="K328" s="789">
        <v>44682</v>
      </c>
      <c r="L328" s="399">
        <v>0</v>
      </c>
      <c r="M328" s="399">
        <v>0</v>
      </c>
      <c r="N328" s="399">
        <v>18.681999999999999</v>
      </c>
      <c r="O328" s="399">
        <v>17.56108</v>
      </c>
      <c r="P328" s="399">
        <v>18.681999999999999</v>
      </c>
      <c r="Q328" s="399">
        <v>17.56108</v>
      </c>
      <c r="R328" s="399"/>
      <c r="S328" s="399">
        <v>415.98</v>
      </c>
      <c r="T328" s="399">
        <v>215.17</v>
      </c>
      <c r="U328" s="399"/>
      <c r="V328" s="399">
        <v>11791.1443</v>
      </c>
      <c r="W328" s="399">
        <v>11791.1443</v>
      </c>
      <c r="X328" s="399">
        <v>10247.824280000001</v>
      </c>
      <c r="Y328" s="399">
        <v>0</v>
      </c>
      <c r="Z328" s="399">
        <v>1141.2198255956052</v>
      </c>
      <c r="AA328" s="399">
        <v>0</v>
      </c>
      <c r="AB328" s="399">
        <v>0</v>
      </c>
      <c r="AC328" s="399">
        <v>0</v>
      </c>
      <c r="AD328" s="399">
        <v>1668.5936170820762</v>
      </c>
      <c r="AE328" s="399">
        <v>4723.0056077475365</v>
      </c>
      <c r="AF328" s="399">
        <v>3937.4545179566367</v>
      </c>
      <c r="AG328" s="399">
        <v>82.331096394236766</v>
      </c>
      <c r="AH328" s="399">
        <v>0</v>
      </c>
      <c r="AI328" s="399">
        <v>0</v>
      </c>
      <c r="AJ328" s="399">
        <v>0</v>
      </c>
      <c r="AK328" s="399">
        <v>0</v>
      </c>
      <c r="AL328" s="399">
        <v>176.34773684876595</v>
      </c>
      <c r="AM328" s="399"/>
      <c r="AN328" s="399">
        <v>21.996139699696538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40.202441136498059</v>
      </c>
      <c r="BH328" s="399">
        <v>0</v>
      </c>
      <c r="BI328" s="399">
        <v>0</v>
      </c>
      <c r="BJ328" s="399">
        <v>0</v>
      </c>
      <c r="BK328" s="399">
        <v>3446.26</v>
      </c>
      <c r="BL328" s="399">
        <v>4</v>
      </c>
      <c r="BM328" s="399"/>
      <c r="BN328" s="399"/>
      <c r="BO328" s="399"/>
      <c r="BP328" s="399"/>
      <c r="BQ328" s="399">
        <v>614.86945679999894</v>
      </c>
      <c r="BR328" s="399"/>
      <c r="BS328" s="399"/>
      <c r="BT328" s="399"/>
      <c r="BU328" s="399"/>
      <c r="BV328" s="399">
        <v>3977.6569590931349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9632.3623999999982</v>
      </c>
      <c r="CJ328" s="399">
        <v>-1451.3432420000026</v>
      </c>
      <c r="CK328" s="399"/>
      <c r="CL328" s="399"/>
      <c r="CM328" s="399"/>
      <c r="CN328" s="399"/>
      <c r="CO328" s="399">
        <v>-2051.0967800000003</v>
      </c>
      <c r="CP328" s="399">
        <v>507.77676000000008</v>
      </c>
      <c r="CQ328" s="399">
        <v>31</v>
      </c>
      <c r="CR328" s="399">
        <v>528.96016275889815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69.450507196384478</v>
      </c>
      <c r="DA328" s="399">
        <v>0</v>
      </c>
      <c r="DB328" s="399">
        <v>0</v>
      </c>
      <c r="DC328" s="399">
        <v>507.7671402488113</v>
      </c>
      <c r="DD328" s="399">
        <v>0</v>
      </c>
      <c r="DE328" s="399">
        <v>0</v>
      </c>
      <c r="DF328" s="399">
        <v>0</v>
      </c>
      <c r="DG328" s="399">
        <v>5.1844353944423034</v>
      </c>
      <c r="DH328" s="399">
        <v>0</v>
      </c>
      <c r="DI328" s="399">
        <v>-46.400853900736593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-5.6070712673924845</v>
      </c>
      <c r="DP328" s="399">
        <v>-1.4339949126121923</v>
      </c>
      <c r="DQ328" s="399">
        <v>0</v>
      </c>
      <c r="DR328" s="399">
        <v>0</v>
      </c>
      <c r="DS328" s="399"/>
      <c r="DT328" s="399"/>
      <c r="DU328" s="399"/>
      <c r="DV328" s="399">
        <v>4723.0056077475365</v>
      </c>
      <c r="DW328" s="399">
        <v>0</v>
      </c>
      <c r="DX328" s="399">
        <v>0</v>
      </c>
      <c r="DY328" s="399">
        <v>-2051.0967799999999</v>
      </c>
      <c r="DZ328" s="399">
        <v>507.77676000000065</v>
      </c>
      <c r="EA328" s="399">
        <v>0</v>
      </c>
      <c r="EB328" s="399">
        <v>0</v>
      </c>
      <c r="EC328" s="399">
        <v>-2072.3240636344512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216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328</v>
      </c>
      <c r="B329" s="399" t="s">
        <v>954</v>
      </c>
      <c r="C329" s="399" t="s">
        <v>2352</v>
      </c>
      <c r="D329" s="399" t="s">
        <v>1824</v>
      </c>
      <c r="E329" s="399" t="s">
        <v>2369</v>
      </c>
      <c r="F329" s="399" t="s">
        <v>1237</v>
      </c>
      <c r="G329" s="399" t="s">
        <v>1237</v>
      </c>
      <c r="H329" s="399" t="s">
        <v>1237</v>
      </c>
      <c r="I329" s="399" t="s">
        <v>1237</v>
      </c>
      <c r="J329" s="399" t="s">
        <v>2353</v>
      </c>
      <c r="K329" s="789">
        <v>44682</v>
      </c>
      <c r="L329" s="399">
        <v>0</v>
      </c>
      <c r="M329" s="399">
        <v>0</v>
      </c>
      <c r="N329" s="399">
        <v>2.0070000000000001</v>
      </c>
      <c r="O329" s="399">
        <v>2.0070000000000001</v>
      </c>
      <c r="P329" s="399">
        <v>2.0070000000000001</v>
      </c>
      <c r="Q329" s="399">
        <v>2.0070000000000001</v>
      </c>
      <c r="R329" s="399"/>
      <c r="S329" s="399">
        <v>415.98</v>
      </c>
      <c r="T329" s="399">
        <v>215.17</v>
      </c>
      <c r="U329" s="399"/>
      <c r="V329" s="399">
        <v>1266.7180499999999</v>
      </c>
      <c r="W329" s="399">
        <v>1266.7180499999999</v>
      </c>
      <c r="X329" s="399">
        <v>1100.9197799999999</v>
      </c>
      <c r="Y329" s="399">
        <v>0</v>
      </c>
      <c r="Z329" s="399">
        <v>122.60080237503372</v>
      </c>
      <c r="AA329" s="399">
        <v>0</v>
      </c>
      <c r="AB329" s="399">
        <v>0</v>
      </c>
      <c r="AC329" s="399">
        <v>0</v>
      </c>
      <c r="AD329" s="399">
        <v>179.25636385203552</v>
      </c>
      <c r="AE329" s="399">
        <v>507.3906570361475</v>
      </c>
      <c r="AF329" s="399">
        <v>422.99920873241467</v>
      </c>
      <c r="AG329" s="399">
        <v>8.8447976909984583</v>
      </c>
      <c r="AH329" s="399">
        <v>0</v>
      </c>
      <c r="AI329" s="399">
        <v>0</v>
      </c>
      <c r="AJ329" s="399">
        <v>0</v>
      </c>
      <c r="AK329" s="399">
        <v>0</v>
      </c>
      <c r="AL329" s="399">
        <v>18.944968839282375</v>
      </c>
      <c r="AM329" s="399"/>
      <c r="AN329" s="399">
        <v>2.3630367400327033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4.3189326282492031</v>
      </c>
      <c r="BH329" s="399">
        <v>0</v>
      </c>
      <c r="BI329" s="399">
        <v>0</v>
      </c>
      <c r="BJ329" s="399">
        <v>0</v>
      </c>
      <c r="BK329" s="399">
        <v>366.97</v>
      </c>
      <c r="BL329" s="399">
        <v>1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427.3181413606639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1102.5654</v>
      </c>
      <c r="CJ329" s="399">
        <v>-164.18264999999997</v>
      </c>
      <c r="CK329" s="399"/>
      <c r="CL329" s="399"/>
      <c r="CM329" s="399"/>
      <c r="CN329" s="399"/>
      <c r="CO329" s="399">
        <v>-220.34853000000007</v>
      </c>
      <c r="CP329" s="399">
        <v>54.550260000000016</v>
      </c>
      <c r="CQ329" s="399">
        <v>31</v>
      </c>
      <c r="CR329" s="399">
        <v>56.825984726319803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7.4610409989906543</v>
      </c>
      <c r="DA329" s="399">
        <v>0</v>
      </c>
      <c r="DB329" s="399">
        <v>0</v>
      </c>
      <c r="DC329" s="399">
        <v>54.549226553868095</v>
      </c>
      <c r="DD329" s="399">
        <v>0</v>
      </c>
      <c r="DE329" s="399">
        <v>0</v>
      </c>
      <c r="DF329" s="399">
        <v>0</v>
      </c>
      <c r="DG329" s="399">
        <v>0.55696187970483457</v>
      </c>
      <c r="DH329" s="399">
        <v>0</v>
      </c>
      <c r="DI329" s="399">
        <v>-4.9848257027501433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-0.6023654872956179</v>
      </c>
      <c r="DP329" s="399">
        <v>-0.15405351619808805</v>
      </c>
      <c r="DQ329" s="399">
        <v>0</v>
      </c>
      <c r="DR329" s="399">
        <v>0</v>
      </c>
      <c r="DS329" s="399"/>
      <c r="DT329" s="399"/>
      <c r="DU329" s="399"/>
      <c r="DV329" s="399">
        <v>507.3906570361475</v>
      </c>
      <c r="DW329" s="399">
        <v>0</v>
      </c>
      <c r="DX329" s="399">
        <v>0</v>
      </c>
      <c r="DY329" s="399">
        <v>-220.3485300000001</v>
      </c>
      <c r="DZ329" s="399">
        <v>54.550260000000037</v>
      </c>
      <c r="EA329" s="399">
        <v>0</v>
      </c>
      <c r="EB329" s="399">
        <v>0</v>
      </c>
      <c r="EC329" s="399">
        <v>-222.62896883172812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216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329</v>
      </c>
      <c r="B330" s="399" t="s">
        <v>954</v>
      </c>
      <c r="C330" s="399" t="s">
        <v>2352</v>
      </c>
      <c r="D330" s="399" t="s">
        <v>2363</v>
      </c>
      <c r="E330" s="399" t="s">
        <v>892</v>
      </c>
      <c r="F330" s="399" t="s">
        <v>2370</v>
      </c>
      <c r="G330" s="399" t="s">
        <v>2371</v>
      </c>
      <c r="H330" s="399" t="s">
        <v>1237</v>
      </c>
      <c r="I330" s="399" t="s">
        <v>1237</v>
      </c>
      <c r="J330" s="399" t="s">
        <v>2353</v>
      </c>
      <c r="K330" s="789">
        <v>44682</v>
      </c>
      <c r="L330" s="399">
        <v>0</v>
      </c>
      <c r="M330" s="399">
        <v>0</v>
      </c>
      <c r="N330" s="399">
        <v>0</v>
      </c>
      <c r="O330" s="399">
        <v>0</v>
      </c>
      <c r="P330" s="399">
        <v>0</v>
      </c>
      <c r="Q330" s="399">
        <v>0</v>
      </c>
      <c r="R330" s="399"/>
      <c r="S330" s="399"/>
      <c r="T330" s="399"/>
      <c r="U330" s="399"/>
      <c r="V330" s="399"/>
      <c r="W330" s="399"/>
      <c r="X330" s="399"/>
      <c r="Y330" s="399"/>
      <c r="Z330" s="399"/>
      <c r="AA330" s="399">
        <v>0</v>
      </c>
      <c r="AB330" s="399"/>
      <c r="AC330" s="399"/>
      <c r="AD330" s="399"/>
      <c r="AE330" s="399"/>
      <c r="AF330" s="399"/>
      <c r="AG330" s="399"/>
      <c r="AH330" s="399"/>
      <c r="AI330" s="399"/>
      <c r="AJ330" s="399"/>
      <c r="AK330" s="399"/>
      <c r="AL330" s="399"/>
      <c r="AM330" s="399"/>
      <c r="AN330" s="399"/>
      <c r="AO330" s="399"/>
      <c r="AP330" s="399"/>
      <c r="AQ330" s="399"/>
      <c r="AR330" s="399"/>
      <c r="AS330" s="399"/>
      <c r="AT330" s="399"/>
      <c r="AU330" s="399"/>
      <c r="AV330" s="399"/>
      <c r="AW330" s="399"/>
      <c r="AX330" s="399"/>
      <c r="AY330" s="399"/>
      <c r="AZ330" s="399">
        <v>0</v>
      </c>
      <c r="BA330" s="399"/>
      <c r="BB330" s="399"/>
      <c r="BC330" s="399"/>
      <c r="BD330" s="399"/>
      <c r="BE330" s="399"/>
      <c r="BF330" s="399"/>
      <c r="BG330" s="399"/>
      <c r="BH330" s="399"/>
      <c r="BI330" s="399">
        <v>0</v>
      </c>
      <c r="BJ330" s="399">
        <v>0</v>
      </c>
      <c r="BK330" s="399">
        <v>81.44</v>
      </c>
      <c r="BL330" s="399">
        <v>9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/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/>
      <c r="CJ330" s="399">
        <v>-0.03</v>
      </c>
      <c r="CK330" s="399"/>
      <c r="CL330" s="399"/>
      <c r="CM330" s="399"/>
      <c r="CN330" s="399"/>
      <c r="CO330" s="399">
        <v>0</v>
      </c>
      <c r="CP330" s="399">
        <v>0</v>
      </c>
      <c r="CQ330" s="399">
        <v>31</v>
      </c>
      <c r="CR330" s="399"/>
      <c r="CS330" s="399"/>
      <c r="CT330" s="399"/>
      <c r="CU330" s="399"/>
      <c r="CV330" s="399"/>
      <c r="CW330" s="399"/>
      <c r="CX330" s="399"/>
      <c r="CY330" s="399"/>
      <c r="CZ330" s="399"/>
      <c r="DA330" s="399"/>
      <c r="DB330" s="399"/>
      <c r="DC330" s="399"/>
      <c r="DD330" s="399"/>
      <c r="DE330" s="399"/>
      <c r="DF330" s="399"/>
      <c r="DG330" s="399"/>
      <c r="DH330" s="399"/>
      <c r="DI330" s="399"/>
      <c r="DJ330" s="399"/>
      <c r="DK330" s="399">
        <v>0</v>
      </c>
      <c r="DL330" s="399"/>
      <c r="DM330" s="399"/>
      <c r="DN330" s="399"/>
      <c r="DO330" s="399"/>
      <c r="DP330" s="399"/>
      <c r="DQ330" s="399"/>
      <c r="DR330" s="399"/>
      <c r="DS330" s="399"/>
      <c r="DT330" s="399"/>
      <c r="DU330" s="399"/>
      <c r="DV330" s="399"/>
      <c r="DW330" s="399"/>
      <c r="DX330" s="399"/>
      <c r="DY330" s="399"/>
      <c r="DZ330" s="399"/>
      <c r="EA330" s="399"/>
      <c r="EB330" s="399"/>
      <c r="EC330" s="399"/>
      <c r="ED330" s="399"/>
      <c r="EE330" s="399"/>
      <c r="EF330" s="399"/>
      <c r="EG330" s="399"/>
      <c r="EH330" s="399"/>
      <c r="EI330" s="399"/>
      <c r="EJ330" s="399"/>
      <c r="EK330" s="399"/>
      <c r="EL330" s="399"/>
      <c r="EM330" s="399"/>
      <c r="EN330" s="399"/>
      <c r="EO330" s="399"/>
      <c r="EP330" s="399"/>
      <c r="EQ330" s="399"/>
      <c r="ER330" s="399"/>
      <c r="ES330" s="399"/>
      <c r="ET330" s="399"/>
      <c r="EU330" s="399"/>
      <c r="EV330" s="399">
        <v>216</v>
      </c>
      <c r="EW330" s="399"/>
      <c r="EX330" s="399"/>
      <c r="EY330" s="399"/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330</v>
      </c>
      <c r="B331" s="399" t="s">
        <v>2354</v>
      </c>
      <c r="C331" s="399" t="s">
        <v>2352</v>
      </c>
      <c r="D331" s="399" t="s">
        <v>2363</v>
      </c>
      <c r="E331" s="399" t="s">
        <v>892</v>
      </c>
      <c r="F331" s="399" t="s">
        <v>2370</v>
      </c>
      <c r="G331" s="399" t="s">
        <v>2371</v>
      </c>
      <c r="H331" s="399" t="s">
        <v>1237</v>
      </c>
      <c r="I331" s="399" t="s">
        <v>1237</v>
      </c>
      <c r="J331" s="399" t="s">
        <v>2353</v>
      </c>
      <c r="K331" s="789">
        <v>44682</v>
      </c>
      <c r="L331" s="399">
        <v>0</v>
      </c>
      <c r="M331" s="399">
        <v>0</v>
      </c>
      <c r="N331" s="399">
        <v>0</v>
      </c>
      <c r="O331" s="399">
        <v>0</v>
      </c>
      <c r="P331" s="399">
        <v>0</v>
      </c>
      <c r="Q331" s="399">
        <v>0</v>
      </c>
      <c r="R331" s="399"/>
      <c r="S331" s="399"/>
      <c r="T331" s="399"/>
      <c r="U331" s="399"/>
      <c r="V331" s="399"/>
      <c r="W331" s="399"/>
      <c r="X331" s="399"/>
      <c r="Y331" s="399"/>
      <c r="Z331" s="399"/>
      <c r="AA331" s="399">
        <v>0</v>
      </c>
      <c r="AB331" s="399"/>
      <c r="AC331" s="399"/>
      <c r="AD331" s="399"/>
      <c r="AE331" s="399"/>
      <c r="AF331" s="399"/>
      <c r="AG331" s="399"/>
      <c r="AH331" s="399"/>
      <c r="AI331" s="399"/>
      <c r="AJ331" s="399"/>
      <c r="AK331" s="399"/>
      <c r="AL331" s="399"/>
      <c r="AM331" s="399"/>
      <c r="AN331" s="399"/>
      <c r="AO331" s="399"/>
      <c r="AP331" s="399"/>
      <c r="AQ331" s="399"/>
      <c r="AR331" s="399"/>
      <c r="AS331" s="399"/>
      <c r="AT331" s="399"/>
      <c r="AU331" s="399"/>
      <c r="AV331" s="399"/>
      <c r="AW331" s="399"/>
      <c r="AX331" s="399"/>
      <c r="AY331" s="399"/>
      <c r="AZ331" s="399">
        <v>0</v>
      </c>
      <c r="BA331" s="399"/>
      <c r="BB331" s="399"/>
      <c r="BC331" s="399"/>
      <c r="BD331" s="399"/>
      <c r="BE331" s="399"/>
      <c r="BF331" s="399"/>
      <c r="BG331" s="399"/>
      <c r="BH331" s="399"/>
      <c r="BI331" s="399">
        <v>0</v>
      </c>
      <c r="BJ331" s="399">
        <v>0</v>
      </c>
      <c r="BK331" s="399">
        <v>-6.1</v>
      </c>
      <c r="BL331" s="399">
        <v>0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/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/>
      <c r="CJ331" s="399">
        <v>-0.03</v>
      </c>
      <c r="CK331" s="399"/>
      <c r="CL331" s="399"/>
      <c r="CM331" s="399"/>
      <c r="CN331" s="399"/>
      <c r="CO331" s="399">
        <v>0</v>
      </c>
      <c r="CP331" s="399">
        <v>0</v>
      </c>
      <c r="CQ331" s="399">
        <v>31</v>
      </c>
      <c r="CR331" s="399"/>
      <c r="CS331" s="399"/>
      <c r="CT331" s="399"/>
      <c r="CU331" s="399"/>
      <c r="CV331" s="399"/>
      <c r="CW331" s="399"/>
      <c r="CX331" s="399"/>
      <c r="CY331" s="399"/>
      <c r="CZ331" s="399"/>
      <c r="DA331" s="399"/>
      <c r="DB331" s="399"/>
      <c r="DC331" s="399"/>
      <c r="DD331" s="399"/>
      <c r="DE331" s="399"/>
      <c r="DF331" s="399"/>
      <c r="DG331" s="399"/>
      <c r="DH331" s="399"/>
      <c r="DI331" s="399"/>
      <c r="DJ331" s="399"/>
      <c r="DK331" s="399">
        <v>0</v>
      </c>
      <c r="DL331" s="399"/>
      <c r="DM331" s="399"/>
      <c r="DN331" s="399"/>
      <c r="DO331" s="399"/>
      <c r="DP331" s="399"/>
      <c r="DQ331" s="399"/>
      <c r="DR331" s="399"/>
      <c r="DS331" s="399"/>
      <c r="DT331" s="399"/>
      <c r="DU331" s="399"/>
      <c r="DV331" s="399"/>
      <c r="DW331" s="399"/>
      <c r="DX331" s="399"/>
      <c r="DY331" s="399"/>
      <c r="DZ331" s="399"/>
      <c r="EA331" s="399"/>
      <c r="EB331" s="399"/>
      <c r="EC331" s="399"/>
      <c r="ED331" s="399"/>
      <c r="EE331" s="399"/>
      <c r="EF331" s="399"/>
      <c r="EG331" s="399"/>
      <c r="EH331" s="399"/>
      <c r="EI331" s="399"/>
      <c r="EJ331" s="399"/>
      <c r="EK331" s="399"/>
      <c r="EL331" s="399"/>
      <c r="EM331" s="399"/>
      <c r="EN331" s="399"/>
      <c r="EO331" s="399"/>
      <c r="EP331" s="399"/>
      <c r="EQ331" s="399"/>
      <c r="ER331" s="399"/>
      <c r="ES331" s="399"/>
      <c r="ET331" s="399"/>
      <c r="EU331" s="399"/>
      <c r="EV331" s="399">
        <v>216</v>
      </c>
      <c r="EW331" s="399"/>
      <c r="EX331" s="399"/>
      <c r="EY331" s="399"/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331</v>
      </c>
      <c r="B332" s="399" t="s">
        <v>954</v>
      </c>
      <c r="C332" s="399" t="s">
        <v>2352</v>
      </c>
      <c r="D332" s="399" t="s">
        <v>2363</v>
      </c>
      <c r="E332" s="399" t="s">
        <v>892</v>
      </c>
      <c r="F332" s="399" t="s">
        <v>2370</v>
      </c>
      <c r="G332" s="399" t="s">
        <v>2371</v>
      </c>
      <c r="H332" s="399" t="s">
        <v>1237</v>
      </c>
      <c r="I332" s="399" t="s">
        <v>1237</v>
      </c>
      <c r="J332" s="399" t="s">
        <v>2353</v>
      </c>
      <c r="K332" s="789">
        <v>44682</v>
      </c>
      <c r="L332" s="399">
        <v>0</v>
      </c>
      <c r="M332" s="399">
        <v>0</v>
      </c>
      <c r="N332" s="399">
        <v>0.57999999999999996</v>
      </c>
      <c r="O332" s="399">
        <v>0.57999999999999996</v>
      </c>
      <c r="P332" s="399">
        <v>0.57999999999999996</v>
      </c>
      <c r="Q332" s="399">
        <v>0.57999999999999996</v>
      </c>
      <c r="R332" s="399"/>
      <c r="S332" s="399">
        <v>415.98</v>
      </c>
      <c r="T332" s="399">
        <v>215.17</v>
      </c>
      <c r="U332" s="399"/>
      <c r="V332" s="399">
        <v>366.06699999999995</v>
      </c>
      <c r="W332" s="399">
        <v>366.06699999999995</v>
      </c>
      <c r="X332" s="399">
        <v>318.15319999999997</v>
      </c>
      <c r="Y332" s="399">
        <v>0</v>
      </c>
      <c r="Z332" s="399">
        <v>35.430226894628575</v>
      </c>
      <c r="AA332" s="399">
        <v>0</v>
      </c>
      <c r="AB332" s="399">
        <v>0</v>
      </c>
      <c r="AC332" s="399">
        <v>0</v>
      </c>
      <c r="AD332" s="399">
        <v>51.803034894957939</v>
      </c>
      <c r="AE332" s="399">
        <v>146.63008524213529</v>
      </c>
      <c r="AF332" s="399">
        <v>122.24192379910338</v>
      </c>
      <c r="AG332" s="399">
        <v>2.5560451722865496</v>
      </c>
      <c r="AH332" s="399">
        <v>0</v>
      </c>
      <c r="AI332" s="399">
        <v>0</v>
      </c>
      <c r="AJ332" s="399">
        <v>0</v>
      </c>
      <c r="AK332" s="399">
        <v>0</v>
      </c>
      <c r="AL332" s="399">
        <v>5.4748788872863852</v>
      </c>
      <c r="AM332" s="399"/>
      <c r="AN332" s="399">
        <v>0.6828905377274378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1.2481220350695255</v>
      </c>
      <c r="BH332" s="399">
        <v>0</v>
      </c>
      <c r="BI332" s="399">
        <v>0</v>
      </c>
      <c r="BJ332" s="399">
        <v>0</v>
      </c>
      <c r="BK332" s="399">
        <v>0</v>
      </c>
      <c r="BL332" s="399">
        <v>0</v>
      </c>
      <c r="BM332" s="399"/>
      <c r="BN332" s="399"/>
      <c r="BO332" s="399"/>
      <c r="BP332" s="399"/>
      <c r="BQ332" s="399"/>
      <c r="BR332" s="399">
        <v>38.175599999999989</v>
      </c>
      <c r="BS332" s="399"/>
      <c r="BT332" s="399"/>
      <c r="BU332" s="399"/>
      <c r="BV332" s="399">
        <v>123.4900458341729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279.9776</v>
      </c>
      <c r="CJ332" s="399">
        <v>-42.190199999999948</v>
      </c>
      <c r="CK332" s="399"/>
      <c r="CL332" s="399"/>
      <c r="CM332" s="399"/>
      <c r="CN332" s="399"/>
      <c r="CO332" s="399">
        <v>-63.678200000000011</v>
      </c>
      <c r="CP332" s="399">
        <v>15.764400000000004</v>
      </c>
      <c r="CQ332" s="399">
        <v>31</v>
      </c>
      <c r="CR332" s="399">
        <v>16.422058366350456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2.1561553459963037</v>
      </c>
      <c r="DA332" s="399">
        <v>0</v>
      </c>
      <c r="DB332" s="399">
        <v>0</v>
      </c>
      <c r="DC332" s="399">
        <v>15.764101345911058</v>
      </c>
      <c r="DD332" s="399">
        <v>0</v>
      </c>
      <c r="DE332" s="399">
        <v>0</v>
      </c>
      <c r="DF332" s="399">
        <v>0</v>
      </c>
      <c r="DG332" s="399">
        <v>0.16095560051260782</v>
      </c>
      <c r="DH332" s="399">
        <v>0</v>
      </c>
      <c r="DI332" s="399">
        <v>-1.4405575025386526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-0.17407672278597808</v>
      </c>
      <c r="DP332" s="399">
        <v>-4.4519700744838464E-2</v>
      </c>
      <c r="DQ332" s="399">
        <v>0</v>
      </c>
      <c r="DR332" s="399">
        <v>0</v>
      </c>
      <c r="DS332" s="399"/>
      <c r="DT332" s="399"/>
      <c r="DU332" s="399"/>
      <c r="DV332" s="399">
        <v>146.63008524213529</v>
      </c>
      <c r="DW332" s="399">
        <v>0</v>
      </c>
      <c r="DX332" s="399">
        <v>0</v>
      </c>
      <c r="DY332" s="399">
        <v>-63.678200000000004</v>
      </c>
      <c r="DZ332" s="399">
        <v>15.764400000000009</v>
      </c>
      <c r="EA332" s="399">
        <v>0</v>
      </c>
      <c r="EB332" s="399">
        <v>0</v>
      </c>
      <c r="EC332" s="399">
        <v>-64.337220688790396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216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332</v>
      </c>
      <c r="B333" s="399" t="s">
        <v>2354</v>
      </c>
      <c r="C333" s="399" t="s">
        <v>2352</v>
      </c>
      <c r="D333" s="399" t="s">
        <v>2363</v>
      </c>
      <c r="E333" s="399" t="s">
        <v>892</v>
      </c>
      <c r="F333" s="399" t="s">
        <v>2370</v>
      </c>
      <c r="G333" s="399" t="s">
        <v>2371</v>
      </c>
      <c r="H333" s="399" t="s">
        <v>1237</v>
      </c>
      <c r="I333" s="399" t="s">
        <v>1237</v>
      </c>
      <c r="J333" s="399" t="s">
        <v>2353</v>
      </c>
      <c r="K333" s="789">
        <v>44682</v>
      </c>
      <c r="L333" s="399">
        <v>0</v>
      </c>
      <c r="M333" s="399">
        <v>0</v>
      </c>
      <c r="N333" s="399">
        <v>-9.4E-2</v>
      </c>
      <c r="O333" s="399">
        <v>-9.4E-2</v>
      </c>
      <c r="P333" s="399">
        <v>-9.4E-2</v>
      </c>
      <c r="Q333" s="399">
        <v>-9.4E-2</v>
      </c>
      <c r="R333" s="399"/>
      <c r="S333" s="399">
        <v>415.98</v>
      </c>
      <c r="T333" s="399">
        <v>215.17</v>
      </c>
      <c r="U333" s="399"/>
      <c r="V333" s="399">
        <v>-59.328099999999999</v>
      </c>
      <c r="W333" s="399">
        <v>-59.328099999999999</v>
      </c>
      <c r="X333" s="399">
        <v>-51.562759999999997</v>
      </c>
      <c r="Y333" s="399">
        <v>0</v>
      </c>
      <c r="Z333" s="399">
        <v>-5.7421402208535968</v>
      </c>
      <c r="AA333" s="399">
        <v>0</v>
      </c>
      <c r="AB333" s="399">
        <v>0</v>
      </c>
      <c r="AC333" s="399">
        <v>0</v>
      </c>
      <c r="AD333" s="399">
        <v>-8.3956642760793905</v>
      </c>
      <c r="AE333" s="399">
        <v>-23.764186228897788</v>
      </c>
      <c r="AF333" s="399">
        <v>-19.811622132958135</v>
      </c>
      <c r="AG333" s="399">
        <v>-0.41425559688782015</v>
      </c>
      <c r="AH333" s="399">
        <v>0</v>
      </c>
      <c r="AI333" s="399">
        <v>0</v>
      </c>
      <c r="AJ333" s="399">
        <v>0</v>
      </c>
      <c r="AK333" s="399">
        <v>0</v>
      </c>
      <c r="AL333" s="399">
        <v>-0.88730795759469006</v>
      </c>
      <c r="AM333" s="399"/>
      <c r="AN333" s="399">
        <v>-0.11067536301099855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-0.20228184706299207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>
        <v>-6.1870799999999999</v>
      </c>
      <c r="BS333" s="399"/>
      <c r="BT333" s="399"/>
      <c r="BU333" s="399"/>
      <c r="BV333" s="399">
        <v>-20.013903980021126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-43.444800000000001</v>
      </c>
      <c r="CJ333" s="399">
        <v>8.7337400000000045</v>
      </c>
      <c r="CK333" s="399"/>
      <c r="CL333" s="399"/>
      <c r="CM333" s="399"/>
      <c r="CN333" s="399"/>
      <c r="CO333" s="399">
        <v>10.320260000000001</v>
      </c>
      <c r="CP333" s="399">
        <v>-2.5549200000000005</v>
      </c>
      <c r="CQ333" s="399">
        <v>31</v>
      </c>
      <c r="CR333" s="399">
        <v>-2.661506011098183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-0.34944586642009057</v>
      </c>
      <c r="DA333" s="399">
        <v>0</v>
      </c>
      <c r="DB333" s="399">
        <v>0</v>
      </c>
      <c r="DC333" s="399">
        <v>-2.5548715974407585</v>
      </c>
      <c r="DD333" s="399">
        <v>0</v>
      </c>
      <c r="DE333" s="399">
        <v>0</v>
      </c>
      <c r="DF333" s="399">
        <v>0</v>
      </c>
      <c r="DG333" s="399">
        <v>-2.6085907669284703E-2</v>
      </c>
      <c r="DH333" s="399">
        <v>0</v>
      </c>
      <c r="DI333" s="399">
        <v>0.23346966420454063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2.8212434382555052E-2</v>
      </c>
      <c r="DP333" s="399">
        <v>7.2152618448531325E-3</v>
      </c>
      <c r="DQ333" s="399">
        <v>0</v>
      </c>
      <c r="DR333" s="399">
        <v>0</v>
      </c>
      <c r="DS333" s="399"/>
      <c r="DT333" s="399"/>
      <c r="DU333" s="399"/>
      <c r="DV333" s="399">
        <v>-23.764186228897788</v>
      </c>
      <c r="DW333" s="399">
        <v>0</v>
      </c>
      <c r="DX333" s="399">
        <v>0</v>
      </c>
      <c r="DY333" s="399">
        <v>10.320260000000001</v>
      </c>
      <c r="DZ333" s="399">
        <v>-2.5549199999999992</v>
      </c>
      <c r="EA333" s="399">
        <v>0</v>
      </c>
      <c r="EB333" s="399">
        <v>0</v>
      </c>
      <c r="EC333" s="399">
        <v>10.427066801286717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216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333</v>
      </c>
      <c r="B334" s="399" t="s">
        <v>954</v>
      </c>
      <c r="C334" s="399" t="s">
        <v>2352</v>
      </c>
      <c r="D334" s="399" t="s">
        <v>2363</v>
      </c>
      <c r="E334" s="399" t="s">
        <v>892</v>
      </c>
      <c r="F334" s="399" t="s">
        <v>2370</v>
      </c>
      <c r="G334" s="399" t="s">
        <v>2372</v>
      </c>
      <c r="H334" s="399" t="s">
        <v>1237</v>
      </c>
      <c r="I334" s="399" t="s">
        <v>1237</v>
      </c>
      <c r="J334" s="399" t="s">
        <v>2353</v>
      </c>
      <c r="K334" s="789">
        <v>44682</v>
      </c>
      <c r="L334" s="399">
        <v>0</v>
      </c>
      <c r="M334" s="399">
        <v>0</v>
      </c>
      <c r="N334" s="399">
        <v>0.50800000000000001</v>
      </c>
      <c r="O334" s="399">
        <v>0.20319999999999999</v>
      </c>
      <c r="P334" s="399">
        <v>0.50800000000000001</v>
      </c>
      <c r="Q334" s="399">
        <v>0.20319999999999999</v>
      </c>
      <c r="R334" s="399"/>
      <c r="S334" s="399">
        <v>415.98</v>
      </c>
      <c r="T334" s="399">
        <v>215.17</v>
      </c>
      <c r="U334" s="399"/>
      <c r="V334" s="399">
        <v>320.62420000000003</v>
      </c>
      <c r="W334" s="399">
        <v>320.62420000000003</v>
      </c>
      <c r="X334" s="399">
        <v>278.65832</v>
      </c>
      <c r="Y334" s="399">
        <v>0</v>
      </c>
      <c r="Z334" s="399">
        <v>31.031991831847098</v>
      </c>
      <c r="AA334" s="399">
        <v>0</v>
      </c>
      <c r="AB334" s="399">
        <v>0</v>
      </c>
      <c r="AC334" s="399">
        <v>0</v>
      </c>
      <c r="AD334" s="399">
        <v>45.372313321790749</v>
      </c>
      <c r="AE334" s="399">
        <v>128.42772983276677</v>
      </c>
      <c r="AF334" s="399">
        <v>107.06706429300779</v>
      </c>
      <c r="AG334" s="399">
        <v>2.2387430129682198</v>
      </c>
      <c r="AH334" s="399">
        <v>0</v>
      </c>
      <c r="AI334" s="399">
        <v>0</v>
      </c>
      <c r="AJ334" s="399">
        <v>0</v>
      </c>
      <c r="AK334" s="399">
        <v>0</v>
      </c>
      <c r="AL334" s="399">
        <v>4.795238749554283</v>
      </c>
      <c r="AM334" s="399"/>
      <c r="AN334" s="399">
        <v>0.59811791925092828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1.0931827479574465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>
        <v>180.56961600000002</v>
      </c>
      <c r="BT334" s="399"/>
      <c r="BU334" s="399"/>
      <c r="BV334" s="399">
        <v>108.16024704096523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96.544000000000011</v>
      </c>
      <c r="CJ334" s="399">
        <v>-16.345311999999993</v>
      </c>
      <c r="CK334" s="399"/>
      <c r="CL334" s="399"/>
      <c r="CM334" s="399"/>
      <c r="CN334" s="399"/>
      <c r="CO334" s="399">
        <v>-55.773320000000012</v>
      </c>
      <c r="CP334" s="399">
        <v>13.807440000000003</v>
      </c>
      <c r="CQ334" s="399">
        <v>31</v>
      </c>
      <c r="CR334" s="399">
        <v>14.383458017424203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1.8884946823553861</v>
      </c>
      <c r="DA334" s="399">
        <v>0</v>
      </c>
      <c r="DB334" s="399">
        <v>0</v>
      </c>
      <c r="DC334" s="399">
        <v>13.807178420211756</v>
      </c>
      <c r="DD334" s="399">
        <v>0</v>
      </c>
      <c r="DE334" s="399">
        <v>0</v>
      </c>
      <c r="DF334" s="399">
        <v>0</v>
      </c>
      <c r="DG334" s="399">
        <v>0.14097490527655987</v>
      </c>
      <c r="DH334" s="399">
        <v>0</v>
      </c>
      <c r="DI334" s="399">
        <v>-1.261729674637305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-0.1524671985780639</v>
      </c>
      <c r="DP334" s="399">
        <v>-3.8993117204099925E-2</v>
      </c>
      <c r="DQ334" s="399">
        <v>0</v>
      </c>
      <c r="DR334" s="399">
        <v>0</v>
      </c>
      <c r="DS334" s="399"/>
      <c r="DT334" s="399"/>
      <c r="DU334" s="399"/>
      <c r="DV334" s="399">
        <v>128.42772983276677</v>
      </c>
      <c r="DW334" s="399">
        <v>0</v>
      </c>
      <c r="DX334" s="399">
        <v>0</v>
      </c>
      <c r="DY334" s="399">
        <v>-55.773320000000012</v>
      </c>
      <c r="DZ334" s="399">
        <v>13.80744</v>
      </c>
      <c r="EA334" s="399">
        <v>0</v>
      </c>
      <c r="EB334" s="399">
        <v>0</v>
      </c>
      <c r="EC334" s="399">
        <v>-56.350531223975025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216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334</v>
      </c>
      <c r="B335" s="399" t="s">
        <v>2354</v>
      </c>
      <c r="C335" s="399" t="s">
        <v>2352</v>
      </c>
      <c r="D335" s="399" t="s">
        <v>2363</v>
      </c>
      <c r="E335" s="399" t="s">
        <v>892</v>
      </c>
      <c r="F335" s="399" t="s">
        <v>2370</v>
      </c>
      <c r="G335" s="399" t="s">
        <v>2372</v>
      </c>
      <c r="H335" s="399" t="s">
        <v>1237</v>
      </c>
      <c r="I335" s="399" t="s">
        <v>1237</v>
      </c>
      <c r="J335" s="399" t="s">
        <v>2353</v>
      </c>
      <c r="K335" s="789">
        <v>44682</v>
      </c>
      <c r="L335" s="399">
        <v>0</v>
      </c>
      <c r="M335" s="399">
        <v>0</v>
      </c>
      <c r="N335" s="399">
        <v>2.8000000000000001E-2</v>
      </c>
      <c r="O335" s="399">
        <v>1.12E-2</v>
      </c>
      <c r="P335" s="399">
        <v>2.8000000000000001E-2</v>
      </c>
      <c r="Q335" s="399">
        <v>1.12E-2</v>
      </c>
      <c r="R335" s="399"/>
      <c r="S335" s="399">
        <v>415.98</v>
      </c>
      <c r="T335" s="399">
        <v>215.17</v>
      </c>
      <c r="U335" s="399"/>
      <c r="V335" s="399">
        <v>17.6722</v>
      </c>
      <c r="W335" s="399">
        <v>17.6722</v>
      </c>
      <c r="X335" s="399">
        <v>15.359120000000001</v>
      </c>
      <c r="Y335" s="399">
        <v>0</v>
      </c>
      <c r="Z335" s="399">
        <v>1.7104247466372418</v>
      </c>
      <c r="AA335" s="399">
        <v>0</v>
      </c>
      <c r="AB335" s="399">
        <v>0</v>
      </c>
      <c r="AC335" s="399">
        <v>0</v>
      </c>
      <c r="AD335" s="399">
        <v>2.5008361673427975</v>
      </c>
      <c r="AE335" s="399">
        <v>7.0786937703099797</v>
      </c>
      <c r="AF335" s="399">
        <v>5.9013342523705088</v>
      </c>
      <c r="AG335" s="399">
        <v>0.12339528417935068</v>
      </c>
      <c r="AH335" s="399">
        <v>0</v>
      </c>
      <c r="AI335" s="399">
        <v>0</v>
      </c>
      <c r="AJ335" s="399">
        <v>0</v>
      </c>
      <c r="AK335" s="399">
        <v>0</v>
      </c>
      <c r="AL335" s="399">
        <v>0.26430449800692896</v>
      </c>
      <c r="AM335" s="399"/>
      <c r="AN335" s="399">
        <v>3.2967129407531479E-2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6.0254167210252958E-2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>
        <v>9.9526560000000011</v>
      </c>
      <c r="BT335" s="399"/>
      <c r="BU335" s="399"/>
      <c r="BV335" s="399">
        <v>5.961588419580762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4.8272000000000004</v>
      </c>
      <c r="CJ335" s="399">
        <v>-1.4233919999999989</v>
      </c>
      <c r="CK335" s="399"/>
      <c r="CL335" s="399"/>
      <c r="CM335" s="399"/>
      <c r="CN335" s="399"/>
      <c r="CO335" s="399">
        <v>-3.0741200000000006</v>
      </c>
      <c r="CP335" s="399">
        <v>0.76104000000000016</v>
      </c>
      <c r="CQ335" s="399">
        <v>31</v>
      </c>
      <c r="CR335" s="399">
        <v>0.7927890245824365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0.10409025808257999</v>
      </c>
      <c r="DA335" s="399">
        <v>0</v>
      </c>
      <c r="DB335" s="399">
        <v>0</v>
      </c>
      <c r="DC335" s="399">
        <v>0.76102558221639516</v>
      </c>
      <c r="DD335" s="399">
        <v>0</v>
      </c>
      <c r="DE335" s="399">
        <v>0</v>
      </c>
      <c r="DF335" s="399">
        <v>0</v>
      </c>
      <c r="DG335" s="399">
        <v>7.7702703695741657E-3</v>
      </c>
      <c r="DH335" s="399">
        <v>0</v>
      </c>
      <c r="DI335" s="399">
        <v>-6.9544155294969601E-2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-8.4037038586334267E-3</v>
      </c>
      <c r="DP335" s="399">
        <v>-2.1492269325094418E-3</v>
      </c>
      <c r="DQ335" s="399">
        <v>0</v>
      </c>
      <c r="DR335" s="399">
        <v>0</v>
      </c>
      <c r="DS335" s="399"/>
      <c r="DT335" s="399"/>
      <c r="DU335" s="399"/>
      <c r="DV335" s="399">
        <v>7.0786937703099797</v>
      </c>
      <c r="DW335" s="399">
        <v>0</v>
      </c>
      <c r="DX335" s="399">
        <v>0</v>
      </c>
      <c r="DY335" s="399">
        <v>-3.0741200000000006</v>
      </c>
      <c r="DZ335" s="399">
        <v>0.76104000000000038</v>
      </c>
      <c r="EA335" s="399">
        <v>0</v>
      </c>
      <c r="EB335" s="399">
        <v>0</v>
      </c>
      <c r="EC335" s="399">
        <v>-3.1059347918726394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216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335</v>
      </c>
      <c r="B336" s="399" t="s">
        <v>954</v>
      </c>
      <c r="C336" s="399" t="s">
        <v>2352</v>
      </c>
      <c r="D336" s="399" t="s">
        <v>2363</v>
      </c>
      <c r="E336" s="399" t="s">
        <v>892</v>
      </c>
      <c r="F336" s="399" t="s">
        <v>2373</v>
      </c>
      <c r="G336" s="399" t="s">
        <v>2371</v>
      </c>
      <c r="H336" s="399" t="s">
        <v>1237</v>
      </c>
      <c r="I336" s="399" t="s">
        <v>1237</v>
      </c>
      <c r="J336" s="399" t="s">
        <v>2353</v>
      </c>
      <c r="K336" s="789">
        <v>44682</v>
      </c>
      <c r="L336" s="399">
        <v>0</v>
      </c>
      <c r="M336" s="399">
        <v>0</v>
      </c>
      <c r="N336" s="399">
        <v>0</v>
      </c>
      <c r="O336" s="399">
        <v>0</v>
      </c>
      <c r="P336" s="399">
        <v>0</v>
      </c>
      <c r="Q336" s="399">
        <v>0</v>
      </c>
      <c r="R336" s="399"/>
      <c r="S336" s="399"/>
      <c r="T336" s="399"/>
      <c r="U336" s="399"/>
      <c r="V336" s="399"/>
      <c r="W336" s="399"/>
      <c r="X336" s="399"/>
      <c r="Y336" s="399"/>
      <c r="Z336" s="399"/>
      <c r="AA336" s="399">
        <v>0</v>
      </c>
      <c r="AB336" s="399"/>
      <c r="AC336" s="399"/>
      <c r="AD336" s="399"/>
      <c r="AE336" s="399"/>
      <c r="AF336" s="399"/>
      <c r="AG336" s="399"/>
      <c r="AH336" s="399"/>
      <c r="AI336" s="399"/>
      <c r="AJ336" s="399"/>
      <c r="AK336" s="399"/>
      <c r="AL336" s="399"/>
      <c r="AM336" s="399"/>
      <c r="AN336" s="399"/>
      <c r="AO336" s="399"/>
      <c r="AP336" s="399"/>
      <c r="AQ336" s="399"/>
      <c r="AR336" s="399"/>
      <c r="AS336" s="399"/>
      <c r="AT336" s="399"/>
      <c r="AU336" s="399"/>
      <c r="AV336" s="399"/>
      <c r="AW336" s="399"/>
      <c r="AX336" s="399"/>
      <c r="AY336" s="399"/>
      <c r="AZ336" s="399">
        <v>0</v>
      </c>
      <c r="BA336" s="399"/>
      <c r="BB336" s="399"/>
      <c r="BC336" s="399"/>
      <c r="BD336" s="399"/>
      <c r="BE336" s="399"/>
      <c r="BF336" s="399"/>
      <c r="BG336" s="399"/>
      <c r="BH336" s="399"/>
      <c r="BI336" s="399">
        <v>0</v>
      </c>
      <c r="BJ336" s="399">
        <v>0</v>
      </c>
      <c r="BK336" s="399">
        <v>551.15</v>
      </c>
      <c r="BL336" s="399">
        <v>3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/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/>
      <c r="CJ336" s="399">
        <v>-0.03</v>
      </c>
      <c r="CK336" s="399"/>
      <c r="CL336" s="399"/>
      <c r="CM336" s="399"/>
      <c r="CN336" s="399"/>
      <c r="CO336" s="399">
        <v>0</v>
      </c>
      <c r="CP336" s="399">
        <v>0</v>
      </c>
      <c r="CQ336" s="399">
        <v>31</v>
      </c>
      <c r="CR336" s="399"/>
      <c r="CS336" s="399"/>
      <c r="CT336" s="399"/>
      <c r="CU336" s="399"/>
      <c r="CV336" s="399"/>
      <c r="CW336" s="399"/>
      <c r="CX336" s="399"/>
      <c r="CY336" s="399"/>
      <c r="CZ336" s="399"/>
      <c r="DA336" s="399"/>
      <c r="DB336" s="399"/>
      <c r="DC336" s="399"/>
      <c r="DD336" s="399"/>
      <c r="DE336" s="399"/>
      <c r="DF336" s="399"/>
      <c r="DG336" s="399"/>
      <c r="DH336" s="399"/>
      <c r="DI336" s="399"/>
      <c r="DJ336" s="399"/>
      <c r="DK336" s="399">
        <v>0</v>
      </c>
      <c r="DL336" s="399"/>
      <c r="DM336" s="399"/>
      <c r="DN336" s="399"/>
      <c r="DO336" s="399"/>
      <c r="DP336" s="399"/>
      <c r="DQ336" s="399"/>
      <c r="DR336" s="399"/>
      <c r="DS336" s="399"/>
      <c r="DT336" s="399"/>
      <c r="DU336" s="399"/>
      <c r="DV336" s="399"/>
      <c r="DW336" s="399"/>
      <c r="DX336" s="399"/>
      <c r="DY336" s="399"/>
      <c r="DZ336" s="399"/>
      <c r="EA336" s="399"/>
      <c r="EB336" s="399"/>
      <c r="EC336" s="399"/>
      <c r="ED336" s="399"/>
      <c r="EE336" s="399"/>
      <c r="EF336" s="399"/>
      <c r="EG336" s="399"/>
      <c r="EH336" s="399"/>
      <c r="EI336" s="399"/>
      <c r="EJ336" s="399"/>
      <c r="EK336" s="399"/>
      <c r="EL336" s="399"/>
      <c r="EM336" s="399"/>
      <c r="EN336" s="399"/>
      <c r="EO336" s="399"/>
      <c r="EP336" s="399"/>
      <c r="EQ336" s="399"/>
      <c r="ER336" s="399"/>
      <c r="ES336" s="399"/>
      <c r="ET336" s="399"/>
      <c r="EU336" s="399"/>
      <c r="EV336" s="399">
        <v>216</v>
      </c>
      <c r="EW336" s="399"/>
      <c r="EX336" s="399"/>
      <c r="EY336" s="399"/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336</v>
      </c>
      <c r="B337" s="399" t="s">
        <v>954</v>
      </c>
      <c r="C337" s="399" t="s">
        <v>2352</v>
      </c>
      <c r="D337" s="399" t="s">
        <v>2363</v>
      </c>
      <c r="E337" s="399" t="s">
        <v>892</v>
      </c>
      <c r="F337" s="399" t="s">
        <v>2373</v>
      </c>
      <c r="G337" s="399" t="s">
        <v>2371</v>
      </c>
      <c r="H337" s="399" t="s">
        <v>1237</v>
      </c>
      <c r="I337" s="399" t="s">
        <v>1237</v>
      </c>
      <c r="J337" s="399" t="s">
        <v>2353</v>
      </c>
      <c r="K337" s="789">
        <v>44682</v>
      </c>
      <c r="L337" s="399">
        <v>0</v>
      </c>
      <c r="M337" s="399">
        <v>0</v>
      </c>
      <c r="N337" s="399">
        <v>0.69499999999999995</v>
      </c>
      <c r="O337" s="399">
        <v>0.69499999999999995</v>
      </c>
      <c r="P337" s="399">
        <v>0.69499999999999995</v>
      </c>
      <c r="Q337" s="399">
        <v>0.69499999999999995</v>
      </c>
      <c r="R337" s="399"/>
      <c r="S337" s="399">
        <v>415.98</v>
      </c>
      <c r="T337" s="399">
        <v>215.17</v>
      </c>
      <c r="U337" s="399"/>
      <c r="V337" s="399">
        <v>438.64924999999994</v>
      </c>
      <c r="W337" s="399">
        <v>438.64924999999994</v>
      </c>
      <c r="X337" s="399">
        <v>381.23529999999994</v>
      </c>
      <c r="Y337" s="399">
        <v>0</v>
      </c>
      <c r="Z337" s="399">
        <v>42.4551856754601</v>
      </c>
      <c r="AA337" s="399">
        <v>0</v>
      </c>
      <c r="AB337" s="399">
        <v>0</v>
      </c>
      <c r="AC337" s="399">
        <v>0</v>
      </c>
      <c r="AD337" s="399">
        <v>62.074326296544427</v>
      </c>
      <c r="AE337" s="399">
        <v>175.70329179876555</v>
      </c>
      <c r="AF337" s="399">
        <v>146.47954662133938</v>
      </c>
      <c r="AG337" s="399">
        <v>3.0628472323088829</v>
      </c>
      <c r="AH337" s="399">
        <v>0</v>
      </c>
      <c r="AI337" s="399">
        <v>0</v>
      </c>
      <c r="AJ337" s="399">
        <v>0</v>
      </c>
      <c r="AK337" s="399">
        <v>0</v>
      </c>
      <c r="AL337" s="399">
        <v>6.5604152183862725</v>
      </c>
      <c r="AM337" s="399"/>
      <c r="AN337" s="399">
        <v>0.81829124779408491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1.4955945075402073</v>
      </c>
      <c r="BH337" s="399">
        <v>0</v>
      </c>
      <c r="BI337" s="399">
        <v>0</v>
      </c>
      <c r="BJ337" s="399">
        <v>0</v>
      </c>
      <c r="BK337" s="399">
        <v>0</v>
      </c>
      <c r="BL337" s="399">
        <v>0</v>
      </c>
      <c r="BM337" s="399"/>
      <c r="BN337" s="399"/>
      <c r="BO337" s="399"/>
      <c r="BP337" s="399"/>
      <c r="BQ337" s="399"/>
      <c r="BR337" s="399">
        <v>45.744899999999994</v>
      </c>
      <c r="BS337" s="399"/>
      <c r="BT337" s="399"/>
      <c r="BU337" s="399"/>
      <c r="BV337" s="399">
        <v>147.97514112887959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337.904</v>
      </c>
      <c r="CJ337" s="399">
        <v>-48.13594999999998</v>
      </c>
      <c r="CK337" s="399"/>
      <c r="CL337" s="399"/>
      <c r="CM337" s="399"/>
      <c r="CN337" s="399"/>
      <c r="CO337" s="399">
        <v>-76.304050000000004</v>
      </c>
      <c r="CP337" s="399">
        <v>18.890100000000004</v>
      </c>
      <c r="CQ337" s="399">
        <v>31</v>
      </c>
      <c r="CR337" s="399">
        <v>19.678156145885453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2.5836689059783282</v>
      </c>
      <c r="DA337" s="399">
        <v>0</v>
      </c>
      <c r="DB337" s="399">
        <v>0</v>
      </c>
      <c r="DC337" s="399">
        <v>18.889742130014127</v>
      </c>
      <c r="DD337" s="399">
        <v>0</v>
      </c>
      <c r="DE337" s="399">
        <v>0</v>
      </c>
      <c r="DF337" s="399">
        <v>0</v>
      </c>
      <c r="DG337" s="399">
        <v>0.19286921095907306</v>
      </c>
      <c r="DH337" s="399">
        <v>0</v>
      </c>
      <c r="DI337" s="399">
        <v>-1.72618528321442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-0.2085919350625085</v>
      </c>
      <c r="DP337" s="399">
        <v>-5.3346882789073735E-2</v>
      </c>
      <c r="DQ337" s="399">
        <v>0</v>
      </c>
      <c r="DR337" s="399">
        <v>0</v>
      </c>
      <c r="DS337" s="399"/>
      <c r="DT337" s="399"/>
      <c r="DU337" s="399"/>
      <c r="DV337" s="399">
        <v>175.70329179876555</v>
      </c>
      <c r="DW337" s="399">
        <v>0</v>
      </c>
      <c r="DX337" s="399">
        <v>0</v>
      </c>
      <c r="DY337" s="399">
        <v>-76.304049999999989</v>
      </c>
      <c r="DZ337" s="399">
        <v>18.890100000000018</v>
      </c>
      <c r="EA337" s="399">
        <v>0</v>
      </c>
      <c r="EB337" s="399">
        <v>0</v>
      </c>
      <c r="EC337" s="399">
        <v>-77.093738583981576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216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337</v>
      </c>
      <c r="B338" s="399" t="s">
        <v>954</v>
      </c>
      <c r="C338" s="399" t="s">
        <v>2352</v>
      </c>
      <c r="D338" s="399" t="s">
        <v>2363</v>
      </c>
      <c r="E338" s="399" t="s">
        <v>892</v>
      </c>
      <c r="F338" s="399" t="s">
        <v>2373</v>
      </c>
      <c r="G338" s="399" t="s">
        <v>2372</v>
      </c>
      <c r="H338" s="399" t="s">
        <v>1237</v>
      </c>
      <c r="I338" s="399" t="s">
        <v>1237</v>
      </c>
      <c r="J338" s="399" t="s">
        <v>2353</v>
      </c>
      <c r="K338" s="789">
        <v>44682</v>
      </c>
      <c r="L338" s="399">
        <v>0</v>
      </c>
      <c r="M338" s="399">
        <v>0</v>
      </c>
      <c r="N338" s="399">
        <v>2.907</v>
      </c>
      <c r="O338" s="399">
        <v>1.1628000000000001</v>
      </c>
      <c r="P338" s="399">
        <v>2.907</v>
      </c>
      <c r="Q338" s="399">
        <v>1.1628000000000001</v>
      </c>
      <c r="R338" s="399"/>
      <c r="S338" s="399">
        <v>415.98</v>
      </c>
      <c r="T338" s="399">
        <v>215.17</v>
      </c>
      <c r="U338" s="399"/>
      <c r="V338" s="399">
        <v>1834.75305</v>
      </c>
      <c r="W338" s="399">
        <v>1834.75305</v>
      </c>
      <c r="X338" s="399">
        <v>1594.6057799999999</v>
      </c>
      <c r="Y338" s="399">
        <v>0</v>
      </c>
      <c r="Z338" s="399">
        <v>177.57874065980221</v>
      </c>
      <c r="AA338" s="399">
        <v>0</v>
      </c>
      <c r="AB338" s="399">
        <v>0</v>
      </c>
      <c r="AC338" s="399">
        <v>0</v>
      </c>
      <c r="AD338" s="399">
        <v>259.64038351662543</v>
      </c>
      <c r="AE338" s="399">
        <v>734.92009965325394</v>
      </c>
      <c r="AF338" s="399">
        <v>612.68495255860955</v>
      </c>
      <c r="AG338" s="399">
        <v>12.811074682477587</v>
      </c>
      <c r="AH338" s="399">
        <v>0</v>
      </c>
      <c r="AI338" s="399">
        <v>0</v>
      </c>
      <c r="AJ338" s="399">
        <v>0</v>
      </c>
      <c r="AK338" s="399">
        <v>0</v>
      </c>
      <c r="AL338" s="399">
        <v>27.440470560933662</v>
      </c>
      <c r="AM338" s="399"/>
      <c r="AN338" s="399">
        <v>3.4226944709890721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6.2556737171501906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/>
      <c r="BR338" s="399"/>
      <c r="BS338" s="399">
        <v>1033.2989639999998</v>
      </c>
      <c r="BT338" s="399"/>
      <c r="BU338" s="399"/>
      <c r="BV338" s="399">
        <v>618.94062627575977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559.95519999999999</v>
      </c>
      <c r="CJ338" s="399">
        <v>-85.905548000000067</v>
      </c>
      <c r="CK338" s="399"/>
      <c r="CL338" s="399"/>
      <c r="CM338" s="399"/>
      <c r="CN338" s="399"/>
      <c r="CO338" s="399">
        <v>-319.15953000000007</v>
      </c>
      <c r="CP338" s="399">
        <v>79.012260000000026</v>
      </c>
      <c r="CQ338" s="399">
        <v>31</v>
      </c>
      <c r="CR338" s="399">
        <v>82.308489087898351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10.806799294502127</v>
      </c>
      <c r="DA338" s="399">
        <v>0</v>
      </c>
      <c r="DB338" s="399">
        <v>0</v>
      </c>
      <c r="DC338" s="399">
        <v>79.010763125109406</v>
      </c>
      <c r="DD338" s="399">
        <v>0</v>
      </c>
      <c r="DE338" s="399">
        <v>0</v>
      </c>
      <c r="DF338" s="399">
        <v>0</v>
      </c>
      <c r="DG338" s="399">
        <v>0.80672057015543253</v>
      </c>
      <c r="DH338" s="399">
        <v>0</v>
      </c>
      <c r="DI338" s="399">
        <v>-7.2201735515170355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-0.87248453989455044</v>
      </c>
      <c r="DP338" s="399">
        <v>-0.22313581045732001</v>
      </c>
      <c r="DQ338" s="399">
        <v>0</v>
      </c>
      <c r="DR338" s="399">
        <v>0</v>
      </c>
      <c r="DS338" s="399"/>
      <c r="DT338" s="399"/>
      <c r="DU338" s="399"/>
      <c r="DV338" s="399">
        <v>734.92009965325394</v>
      </c>
      <c r="DW338" s="399">
        <v>0</v>
      </c>
      <c r="DX338" s="399">
        <v>0</v>
      </c>
      <c r="DY338" s="399">
        <v>-319.15953000000002</v>
      </c>
      <c r="DZ338" s="399">
        <v>79.012259999999969</v>
      </c>
      <c r="EA338" s="399">
        <v>0</v>
      </c>
      <c r="EB338" s="399">
        <v>0</v>
      </c>
      <c r="EC338" s="399">
        <v>-322.4625871419201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216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338</v>
      </c>
      <c r="B339" s="399" t="s">
        <v>954</v>
      </c>
      <c r="C339" s="399" t="s">
        <v>2352</v>
      </c>
      <c r="D339" s="399" t="s">
        <v>1821</v>
      </c>
      <c r="E339" s="399" t="s">
        <v>887</v>
      </c>
      <c r="F339" s="399" t="s">
        <v>887</v>
      </c>
      <c r="G339" s="399" t="s">
        <v>1237</v>
      </c>
      <c r="H339" s="399" t="s">
        <v>1237</v>
      </c>
      <c r="I339" s="399" t="s">
        <v>1237</v>
      </c>
      <c r="J339" s="399" t="s">
        <v>2353</v>
      </c>
      <c r="K339" s="789">
        <v>44713</v>
      </c>
      <c r="L339" s="399">
        <v>0</v>
      </c>
      <c r="M339" s="399">
        <v>0</v>
      </c>
      <c r="N339" s="399">
        <v>476.57</v>
      </c>
      <c r="O339" s="399">
        <v>476.57</v>
      </c>
      <c r="P339" s="399">
        <v>476.57</v>
      </c>
      <c r="Q339" s="399">
        <v>476.57</v>
      </c>
      <c r="R339" s="399"/>
      <c r="S339" s="399">
        <v>415.98</v>
      </c>
      <c r="T339" s="399">
        <v>215.17</v>
      </c>
      <c r="U339" s="399"/>
      <c r="V339" s="399">
        <v>300787.15549999999</v>
      </c>
      <c r="W339" s="399">
        <v>300787.15549999999</v>
      </c>
      <c r="X339" s="399">
        <v>261417.7078</v>
      </c>
      <c r="Y339" s="399">
        <v>0</v>
      </c>
      <c r="Z339" s="399">
        <v>29112.040053746794</v>
      </c>
      <c r="AA339" s="399">
        <v>0</v>
      </c>
      <c r="AB339" s="399">
        <v>0</v>
      </c>
      <c r="AC339" s="399">
        <v>0</v>
      </c>
      <c r="AD339" s="399">
        <v>42565.124723948458</v>
      </c>
      <c r="AE339" s="399">
        <v>120481.89607559382</v>
      </c>
      <c r="AF339" s="399">
        <v>100442.81659472189</v>
      </c>
      <c r="AG339" s="399">
        <v>2100.2318064768983</v>
      </c>
      <c r="AH339" s="399">
        <v>0</v>
      </c>
      <c r="AI339" s="399">
        <v>0</v>
      </c>
      <c r="AJ339" s="399">
        <v>0</v>
      </c>
      <c r="AK339" s="399">
        <v>0</v>
      </c>
      <c r="AL339" s="399">
        <v>4498.5569505415051</v>
      </c>
      <c r="AM339" s="399"/>
      <c r="AN339" s="399">
        <v>561.11231649097419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1025.5474452639376</v>
      </c>
      <c r="BH339" s="399">
        <v>0</v>
      </c>
      <c r="BI339" s="399">
        <v>0</v>
      </c>
      <c r="BJ339" s="399">
        <v>0</v>
      </c>
      <c r="BK339" s="399">
        <v>51539.360000000001</v>
      </c>
      <c r="BL339" s="399">
        <v>2835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101468.36403998583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261417.7078</v>
      </c>
      <c r="CJ339" s="399">
        <v>-39369.477700000018</v>
      </c>
      <c r="CK339" s="399"/>
      <c r="CL339" s="399"/>
      <c r="CM339" s="399"/>
      <c r="CN339" s="399"/>
      <c r="CO339" s="399">
        <v>-52322.62030000001</v>
      </c>
      <c r="CP339" s="399">
        <v>12953.172600000004</v>
      </c>
      <c r="CQ339" s="399">
        <v>30</v>
      </c>
      <c r="CR339" s="399">
        <v>13493.552337330475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1771.6533676576873</v>
      </c>
      <c r="DA339" s="399">
        <v>0</v>
      </c>
      <c r="DB339" s="399">
        <v>0</v>
      </c>
      <c r="DC339" s="399">
        <v>12952.927204173844</v>
      </c>
      <c r="DD339" s="399">
        <v>0</v>
      </c>
      <c r="DE339" s="399">
        <v>0</v>
      </c>
      <c r="DF339" s="399">
        <v>0</v>
      </c>
      <c r="DG339" s="399">
        <v>132.25277678671296</v>
      </c>
      <c r="DH339" s="399">
        <v>0</v>
      </c>
      <c r="DI339" s="399">
        <v>-1183.6663603187008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-143.03404099674754</v>
      </c>
      <c r="DP339" s="399">
        <v>-36.580609972358047</v>
      </c>
      <c r="DQ339" s="399">
        <v>0</v>
      </c>
      <c r="DR339" s="399">
        <v>0</v>
      </c>
      <c r="DS339" s="399"/>
      <c r="DT339" s="399"/>
      <c r="DU339" s="399"/>
      <c r="DV339" s="399">
        <v>120481.89607559382</v>
      </c>
      <c r="DW339" s="399">
        <v>0</v>
      </c>
      <c r="DX339" s="399">
        <v>0</v>
      </c>
      <c r="DY339" s="399">
        <v>-52322.62030000001</v>
      </c>
      <c r="DZ339" s="399">
        <v>12953.172600000005</v>
      </c>
      <c r="EA339" s="399">
        <v>0</v>
      </c>
      <c r="EB339" s="399">
        <v>0</v>
      </c>
      <c r="EC339" s="399">
        <v>-52864.119420097981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216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339</v>
      </c>
      <c r="B340" s="399" t="s">
        <v>2354</v>
      </c>
      <c r="C340" s="399" t="s">
        <v>2352</v>
      </c>
      <c r="D340" s="399" t="s">
        <v>1821</v>
      </c>
      <c r="E340" s="399" t="s">
        <v>887</v>
      </c>
      <c r="F340" s="399" t="s">
        <v>887</v>
      </c>
      <c r="G340" s="399" t="s">
        <v>1237</v>
      </c>
      <c r="H340" s="399" t="s">
        <v>1237</v>
      </c>
      <c r="I340" s="399" t="s">
        <v>1237</v>
      </c>
      <c r="J340" s="399" t="s">
        <v>2353</v>
      </c>
      <c r="K340" s="789">
        <v>44713</v>
      </c>
      <c r="L340" s="399">
        <v>0</v>
      </c>
      <c r="M340" s="399">
        <v>0</v>
      </c>
      <c r="N340" s="399">
        <v>-7.0000000000000007E-2</v>
      </c>
      <c r="O340" s="399">
        <v>-7.0000000000000007E-2</v>
      </c>
      <c r="P340" s="399">
        <v>-7.0000000000000007E-2</v>
      </c>
      <c r="Q340" s="399">
        <v>-7.0000000000000007E-2</v>
      </c>
      <c r="R340" s="399"/>
      <c r="S340" s="399">
        <v>415.98</v>
      </c>
      <c r="T340" s="399">
        <v>215.17</v>
      </c>
      <c r="U340" s="399"/>
      <c r="V340" s="399">
        <v>-44.180500000000009</v>
      </c>
      <c r="W340" s="399">
        <v>-44.180500000000009</v>
      </c>
      <c r="X340" s="399">
        <v>-38.397800000000004</v>
      </c>
      <c r="Y340" s="399">
        <v>0</v>
      </c>
      <c r="Z340" s="399">
        <v>-4.2760618665931043</v>
      </c>
      <c r="AA340" s="399">
        <v>0</v>
      </c>
      <c r="AB340" s="399">
        <v>0</v>
      </c>
      <c r="AC340" s="399">
        <v>0</v>
      </c>
      <c r="AD340" s="399">
        <v>-6.2520904183569934</v>
      </c>
      <c r="AE340" s="399">
        <v>-17.696734425774952</v>
      </c>
      <c r="AF340" s="399">
        <v>-14.753335630926273</v>
      </c>
      <c r="AG340" s="399">
        <v>-0.30848821044837671</v>
      </c>
      <c r="AH340" s="399">
        <v>0</v>
      </c>
      <c r="AI340" s="399">
        <v>0</v>
      </c>
      <c r="AJ340" s="399">
        <v>0</v>
      </c>
      <c r="AK340" s="399">
        <v>0</v>
      </c>
      <c r="AL340" s="399">
        <v>-0.66076124501732247</v>
      </c>
      <c r="AM340" s="399"/>
      <c r="AN340" s="399">
        <v>-8.2417823518828703E-2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-0.15063541802563241</v>
      </c>
      <c r="BH340" s="399">
        <v>0</v>
      </c>
      <c r="BI340" s="399">
        <v>0</v>
      </c>
      <c r="BJ340" s="399">
        <v>0</v>
      </c>
      <c r="BK340" s="399">
        <v>-6.59</v>
      </c>
      <c r="BL340" s="399">
        <v>0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-14.903971048951906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-38.397800000000004</v>
      </c>
      <c r="CJ340" s="399">
        <v>5.7526999999999973</v>
      </c>
      <c r="CK340" s="399"/>
      <c r="CL340" s="399"/>
      <c r="CM340" s="399"/>
      <c r="CN340" s="399"/>
      <c r="CO340" s="399">
        <v>7.6853000000000025</v>
      </c>
      <c r="CP340" s="399">
        <v>-1.9026000000000007</v>
      </c>
      <c r="CQ340" s="399">
        <v>30</v>
      </c>
      <c r="CR340" s="399">
        <v>-1.981972561456093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-0.2602256452064502</v>
      </c>
      <c r="DA340" s="399">
        <v>0</v>
      </c>
      <c r="DB340" s="399">
        <v>0</v>
      </c>
      <c r="DC340" s="399">
        <v>-1.9025639555409875</v>
      </c>
      <c r="DD340" s="399">
        <v>0</v>
      </c>
      <c r="DE340" s="399">
        <v>0</v>
      </c>
      <c r="DF340" s="399">
        <v>0</v>
      </c>
      <c r="DG340" s="399">
        <v>-1.9425675923935432E-2</v>
      </c>
      <c r="DH340" s="399">
        <v>0</v>
      </c>
      <c r="DI340" s="399">
        <v>0.17386038823742389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2.1009259646583622E-2</v>
      </c>
      <c r="DP340" s="399">
        <v>5.373067331273601E-3</v>
      </c>
      <c r="DQ340" s="399">
        <v>0</v>
      </c>
      <c r="DR340" s="399">
        <v>0</v>
      </c>
      <c r="DS340" s="399"/>
      <c r="DT340" s="399"/>
      <c r="DU340" s="399"/>
      <c r="DV340" s="399">
        <v>-17.696734425774952</v>
      </c>
      <c r="DW340" s="399">
        <v>0</v>
      </c>
      <c r="DX340" s="399">
        <v>0</v>
      </c>
      <c r="DY340" s="399">
        <v>7.6853000000000016</v>
      </c>
      <c r="DZ340" s="399">
        <v>-1.9025999999999996</v>
      </c>
      <c r="EA340" s="399">
        <v>0</v>
      </c>
      <c r="EB340" s="399">
        <v>0</v>
      </c>
      <c r="EC340" s="399">
        <v>7.7648369796816006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216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340</v>
      </c>
      <c r="B341" s="399" t="s">
        <v>2355</v>
      </c>
      <c r="C341" s="399" t="s">
        <v>2352</v>
      </c>
      <c r="D341" s="399" t="s">
        <v>1821</v>
      </c>
      <c r="E341" s="399" t="s">
        <v>887</v>
      </c>
      <c r="F341" s="399" t="s">
        <v>887</v>
      </c>
      <c r="G341" s="399" t="s">
        <v>1237</v>
      </c>
      <c r="H341" s="399" t="s">
        <v>1237</v>
      </c>
      <c r="I341" s="399" t="s">
        <v>1237</v>
      </c>
      <c r="J341" s="399" t="s">
        <v>2353</v>
      </c>
      <c r="K341" s="789">
        <v>44713</v>
      </c>
      <c r="L341" s="399">
        <v>0</v>
      </c>
      <c r="M341" s="399">
        <v>0</v>
      </c>
      <c r="N341" s="399">
        <v>2.7589999999999999</v>
      </c>
      <c r="O341" s="399">
        <v>2.7589999999999999</v>
      </c>
      <c r="P341" s="399">
        <v>2.7589999999999999</v>
      </c>
      <c r="Q341" s="399">
        <v>2.7589999999999999</v>
      </c>
      <c r="R341" s="399"/>
      <c r="S341" s="399">
        <v>415.98</v>
      </c>
      <c r="T341" s="399">
        <v>215.17</v>
      </c>
      <c r="U341" s="399"/>
      <c r="V341" s="399">
        <v>1741.34285</v>
      </c>
      <c r="W341" s="399">
        <v>1741.34285</v>
      </c>
      <c r="X341" s="399">
        <v>1513.4218599999999</v>
      </c>
      <c r="Y341" s="399">
        <v>0</v>
      </c>
      <c r="Z341" s="399">
        <v>168.53792414186248</v>
      </c>
      <c r="AA341" s="399">
        <v>0</v>
      </c>
      <c r="AB341" s="399">
        <v>0</v>
      </c>
      <c r="AC341" s="399">
        <v>0</v>
      </c>
      <c r="AD341" s="399">
        <v>246.42167806067062</v>
      </c>
      <c r="AE341" s="399">
        <v>697.50414686732972</v>
      </c>
      <c r="AF341" s="399">
        <v>581.49218579607975</v>
      </c>
      <c r="AG341" s="399">
        <v>12.158842466101019</v>
      </c>
      <c r="AH341" s="399">
        <v>0</v>
      </c>
      <c r="AI341" s="399">
        <v>0</v>
      </c>
      <c r="AJ341" s="399">
        <v>0</v>
      </c>
      <c r="AK341" s="399">
        <v>0</v>
      </c>
      <c r="AL341" s="399">
        <v>26.043432500039891</v>
      </c>
      <c r="AM341" s="399"/>
      <c r="AN341" s="399">
        <v>3.2484396441206913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5.9371874047531392</v>
      </c>
      <c r="BH341" s="399">
        <v>0</v>
      </c>
      <c r="BI341" s="399">
        <v>0</v>
      </c>
      <c r="BJ341" s="399">
        <v>0</v>
      </c>
      <c r="BK341" s="399">
        <v>827.69</v>
      </c>
      <c r="BL341" s="399">
        <v>19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587.42937320083286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1513.9703999999999</v>
      </c>
      <c r="CJ341" s="399">
        <v>-227.40245000000004</v>
      </c>
      <c r="CK341" s="399"/>
      <c r="CL341" s="399"/>
      <c r="CM341" s="399"/>
      <c r="CN341" s="399"/>
      <c r="CO341" s="399">
        <v>-302.91061000000002</v>
      </c>
      <c r="CP341" s="399">
        <v>74.989620000000016</v>
      </c>
      <c r="CQ341" s="399">
        <v>30</v>
      </c>
      <c r="CR341" s="399">
        <v>78.11803281510538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10.256607930351379</v>
      </c>
      <c r="DA341" s="399">
        <v>0</v>
      </c>
      <c r="DB341" s="399">
        <v>0</v>
      </c>
      <c r="DC341" s="399">
        <v>74.98819933339405</v>
      </c>
      <c r="DD341" s="399">
        <v>0</v>
      </c>
      <c r="DE341" s="399">
        <v>0</v>
      </c>
      <c r="DF341" s="399">
        <v>0</v>
      </c>
      <c r="DG341" s="399">
        <v>0.76564914105911175</v>
      </c>
      <c r="DH341" s="399">
        <v>0</v>
      </c>
      <c r="DI341" s="399">
        <v>-6.8525830163864612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-0.8280649623560592</v>
      </c>
      <c r="DP341" s="399">
        <v>-0.21177561095691289</v>
      </c>
      <c r="DQ341" s="399">
        <v>0</v>
      </c>
      <c r="DR341" s="399">
        <v>0</v>
      </c>
      <c r="DS341" s="399"/>
      <c r="DT341" s="399"/>
      <c r="DU341" s="399"/>
      <c r="DV341" s="399">
        <v>697.50414686732972</v>
      </c>
      <c r="DW341" s="399">
        <v>0</v>
      </c>
      <c r="DX341" s="399">
        <v>0</v>
      </c>
      <c r="DY341" s="399">
        <v>-302.91061000000013</v>
      </c>
      <c r="DZ341" s="399">
        <v>74.989620000000059</v>
      </c>
      <c r="EA341" s="399">
        <v>0</v>
      </c>
      <c r="EB341" s="399">
        <v>0</v>
      </c>
      <c r="EC341" s="399">
        <v>-306.04550324202182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216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341</v>
      </c>
      <c r="B342" s="399" t="s">
        <v>954</v>
      </c>
      <c r="C342" s="399" t="s">
        <v>2352</v>
      </c>
      <c r="D342" s="399" t="s">
        <v>1821</v>
      </c>
      <c r="E342" s="399" t="s">
        <v>887</v>
      </c>
      <c r="F342" s="399" t="s">
        <v>2356</v>
      </c>
      <c r="G342" s="399" t="s">
        <v>1237</v>
      </c>
      <c r="H342" s="399" t="s">
        <v>1237</v>
      </c>
      <c r="I342" s="399" t="s">
        <v>1237</v>
      </c>
      <c r="J342" s="399" t="s">
        <v>2353</v>
      </c>
      <c r="K342" s="789">
        <v>44713</v>
      </c>
      <c r="L342" s="399">
        <v>0</v>
      </c>
      <c r="M342" s="399">
        <v>0</v>
      </c>
      <c r="N342" s="399">
        <v>7.7990000000000004</v>
      </c>
      <c r="O342" s="399">
        <v>7.7990000000000004</v>
      </c>
      <c r="P342" s="399">
        <v>7.7990000000000004</v>
      </c>
      <c r="Q342" s="399">
        <v>7.7990000000000004</v>
      </c>
      <c r="R342" s="399"/>
      <c r="S342" s="399">
        <v>345.46</v>
      </c>
      <c r="T342" s="399">
        <v>215.17</v>
      </c>
      <c r="U342" s="399"/>
      <c r="V342" s="399">
        <v>4372.3533700000007</v>
      </c>
      <c r="W342" s="399">
        <v>4372.3533700000007</v>
      </c>
      <c r="X342" s="399">
        <v>3749.7592</v>
      </c>
      <c r="Y342" s="399">
        <v>0</v>
      </c>
      <c r="Z342" s="399">
        <v>0</v>
      </c>
      <c r="AA342" s="399">
        <v>0</v>
      </c>
      <c r="AB342" s="399">
        <v>0</v>
      </c>
      <c r="AC342" s="399">
        <v>0</v>
      </c>
      <c r="AD342" s="399">
        <v>696.57218818237413</v>
      </c>
      <c r="AE342" s="399">
        <v>1971.6690255231263</v>
      </c>
      <c r="AF342" s="399">
        <v>1643.7323512227713</v>
      </c>
      <c r="AG342" s="399">
        <v>34.369993618384143</v>
      </c>
      <c r="AH342" s="399">
        <v>0</v>
      </c>
      <c r="AI342" s="399">
        <v>0</v>
      </c>
      <c r="AJ342" s="399">
        <v>0</v>
      </c>
      <c r="AK342" s="399">
        <v>0</v>
      </c>
      <c r="AL342" s="399">
        <v>0</v>
      </c>
      <c r="AM342" s="399"/>
      <c r="AN342" s="399">
        <v>9.1825229374763584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16.782937502598674</v>
      </c>
      <c r="BH342" s="399">
        <v>0</v>
      </c>
      <c r="BI342" s="399">
        <v>0</v>
      </c>
      <c r="BJ342" s="399">
        <v>0</v>
      </c>
      <c r="BK342" s="399">
        <v>176.78</v>
      </c>
      <c r="BL342" s="399">
        <v>12</v>
      </c>
      <c r="BM342" s="399"/>
      <c r="BN342" s="399"/>
      <c r="BO342" s="399"/>
      <c r="BP342" s="399"/>
      <c r="BQ342" s="399"/>
      <c r="BR342" s="399"/>
      <c r="BS342" s="399"/>
      <c r="BT342" s="399">
        <v>2437.34348</v>
      </c>
      <c r="BU342" s="399"/>
      <c r="BV342" s="399">
        <v>1660.5152887253701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1312.5839999999998</v>
      </c>
      <c r="CJ342" s="399">
        <v>-217.76578000000018</v>
      </c>
      <c r="CK342" s="399"/>
      <c r="CL342" s="399"/>
      <c r="CM342" s="399"/>
      <c r="CN342" s="399"/>
      <c r="CO342" s="399">
        <v>-834.57098999999994</v>
      </c>
      <c r="CP342" s="399">
        <v>211.97682000000006</v>
      </c>
      <c r="CQ342" s="399">
        <v>30</v>
      </c>
      <c r="CR342" s="399">
        <v>242.53131986633525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28.992854385215878</v>
      </c>
      <c r="DA342" s="399">
        <v>0</v>
      </c>
      <c r="DB342" s="399">
        <v>0</v>
      </c>
      <c r="DC342" s="399">
        <v>211.97280413234535</v>
      </c>
      <c r="DD342" s="399">
        <v>0</v>
      </c>
      <c r="DE342" s="399">
        <v>0</v>
      </c>
      <c r="DF342" s="399">
        <v>0</v>
      </c>
      <c r="DG342" s="399">
        <v>2.1642978075824608</v>
      </c>
      <c r="DH342" s="399">
        <v>0</v>
      </c>
      <c r="DI342" s="399">
        <v>0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0</v>
      </c>
      <c r="DP342" s="399">
        <v>-0.59863645880861327</v>
      </c>
      <c r="DQ342" s="399">
        <v>0</v>
      </c>
      <c r="DR342" s="399">
        <v>0</v>
      </c>
      <c r="DS342" s="399"/>
      <c r="DT342" s="399"/>
      <c r="DU342" s="399"/>
      <c r="DV342" s="399">
        <v>1971.6690255231263</v>
      </c>
      <c r="DW342" s="399">
        <v>0</v>
      </c>
      <c r="DX342" s="399">
        <v>0</v>
      </c>
      <c r="DY342" s="399">
        <v>-834.57099000000017</v>
      </c>
      <c r="DZ342" s="399">
        <v>211.97681999999986</v>
      </c>
      <c r="EA342" s="399">
        <v>0</v>
      </c>
      <c r="EB342" s="399">
        <v>0</v>
      </c>
      <c r="EC342" s="399">
        <v>-865.11376577909709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216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342</v>
      </c>
      <c r="B343" s="399" t="s">
        <v>954</v>
      </c>
      <c r="C343" s="399" t="s">
        <v>2352</v>
      </c>
      <c r="D343" s="399" t="s">
        <v>1821</v>
      </c>
      <c r="E343" s="399" t="s">
        <v>887</v>
      </c>
      <c r="F343" s="399" t="s">
        <v>2357</v>
      </c>
      <c r="G343" s="399" t="s">
        <v>1237</v>
      </c>
      <c r="H343" s="399" t="s">
        <v>1237</v>
      </c>
      <c r="I343" s="399" t="s">
        <v>1237</v>
      </c>
      <c r="J343" s="399" t="s">
        <v>2353</v>
      </c>
      <c r="K343" s="789">
        <v>44713</v>
      </c>
      <c r="L343" s="399">
        <v>0</v>
      </c>
      <c r="M343" s="399">
        <v>0</v>
      </c>
      <c r="N343" s="399">
        <v>15.46</v>
      </c>
      <c r="O343" s="399">
        <v>15.46</v>
      </c>
      <c r="P343" s="399">
        <v>15.46</v>
      </c>
      <c r="Q343" s="399">
        <v>15.46</v>
      </c>
      <c r="R343" s="399"/>
      <c r="S343" s="399">
        <v>345.46</v>
      </c>
      <c r="T343" s="399">
        <v>215.17</v>
      </c>
      <c r="U343" s="399"/>
      <c r="V343" s="399">
        <v>8667.3397999999997</v>
      </c>
      <c r="W343" s="399">
        <v>8667.3397999999997</v>
      </c>
      <c r="X343" s="399">
        <v>7433.1679999999997</v>
      </c>
      <c r="Y343" s="399">
        <v>0</v>
      </c>
      <c r="Z343" s="399">
        <v>0</v>
      </c>
      <c r="AA343" s="399">
        <v>0</v>
      </c>
      <c r="AB343" s="399">
        <v>0</v>
      </c>
      <c r="AC343" s="399">
        <v>0</v>
      </c>
      <c r="AD343" s="399">
        <v>1380.8188266828445</v>
      </c>
      <c r="AE343" s="399">
        <v>3908.4502031782963</v>
      </c>
      <c r="AF343" s="399">
        <v>3258.3795550588593</v>
      </c>
      <c r="AG343" s="399">
        <v>68.131824764741481</v>
      </c>
      <c r="AH343" s="399">
        <v>0</v>
      </c>
      <c r="AI343" s="399">
        <v>0</v>
      </c>
      <c r="AJ343" s="399">
        <v>0</v>
      </c>
      <c r="AK343" s="399">
        <v>0</v>
      </c>
      <c r="AL343" s="399">
        <v>0</v>
      </c>
      <c r="AM343" s="399"/>
      <c r="AN343" s="399">
        <v>18.20256502287274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33.268908038232524</v>
      </c>
      <c r="BH343" s="399">
        <v>0</v>
      </c>
      <c r="BI343" s="399">
        <v>0</v>
      </c>
      <c r="BJ343" s="399">
        <v>0</v>
      </c>
      <c r="BK343" s="399">
        <v>607.48</v>
      </c>
      <c r="BL343" s="399">
        <v>60</v>
      </c>
      <c r="BM343" s="399"/>
      <c r="BN343" s="399"/>
      <c r="BO343" s="399"/>
      <c r="BP343" s="399"/>
      <c r="BQ343" s="399"/>
      <c r="BR343" s="399"/>
      <c r="BS343" s="399"/>
      <c r="BT343" s="399">
        <v>2973.2672000000002</v>
      </c>
      <c r="BU343" s="399"/>
      <c r="BV343" s="399">
        <v>3291.6484630970917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4459.9007999999994</v>
      </c>
      <c r="CJ343" s="399">
        <v>-740.40940000000137</v>
      </c>
      <c r="CK343" s="399"/>
      <c r="CL343" s="399"/>
      <c r="CM343" s="399"/>
      <c r="CN343" s="399"/>
      <c r="CO343" s="399">
        <v>-1654.3745999999999</v>
      </c>
      <c r="CP343" s="399">
        <v>420.20280000000014</v>
      </c>
      <c r="CQ343" s="399">
        <v>30</v>
      </c>
      <c r="CR343" s="399">
        <v>480.77115080568547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57.472692498453171</v>
      </c>
      <c r="DA343" s="399">
        <v>0</v>
      </c>
      <c r="DB343" s="399">
        <v>0</v>
      </c>
      <c r="DC343" s="399">
        <v>420.19483932376716</v>
      </c>
      <c r="DD343" s="399">
        <v>0</v>
      </c>
      <c r="DE343" s="399">
        <v>0</v>
      </c>
      <c r="DF343" s="399">
        <v>0</v>
      </c>
      <c r="DG343" s="399">
        <v>4.2902992826291708</v>
      </c>
      <c r="DH343" s="399">
        <v>0</v>
      </c>
      <c r="DI343" s="399">
        <v>0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0</v>
      </c>
      <c r="DP343" s="399">
        <v>-1.1866802991641414</v>
      </c>
      <c r="DQ343" s="399">
        <v>0</v>
      </c>
      <c r="DR343" s="399">
        <v>0</v>
      </c>
      <c r="DS343" s="399"/>
      <c r="DT343" s="399"/>
      <c r="DU343" s="399"/>
      <c r="DV343" s="399">
        <v>3908.4502031782963</v>
      </c>
      <c r="DW343" s="399">
        <v>0</v>
      </c>
      <c r="DX343" s="399">
        <v>0</v>
      </c>
      <c r="DY343" s="399">
        <v>-1654.3746000000001</v>
      </c>
      <c r="DZ343" s="399">
        <v>420.20280000000002</v>
      </c>
      <c r="EA343" s="399">
        <v>0</v>
      </c>
      <c r="EB343" s="399">
        <v>0</v>
      </c>
      <c r="EC343" s="399">
        <v>-1714.9197100839647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216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343</v>
      </c>
      <c r="B344" s="399" t="s">
        <v>954</v>
      </c>
      <c r="C344" s="399" t="s">
        <v>2352</v>
      </c>
      <c r="D344" s="399" t="s">
        <v>1821</v>
      </c>
      <c r="E344" s="399" t="s">
        <v>887</v>
      </c>
      <c r="F344" s="399" t="s">
        <v>2358</v>
      </c>
      <c r="G344" s="399" t="s">
        <v>1237</v>
      </c>
      <c r="H344" s="399" t="s">
        <v>1237</v>
      </c>
      <c r="I344" s="399" t="s">
        <v>1237</v>
      </c>
      <c r="J344" s="399" t="s">
        <v>2353</v>
      </c>
      <c r="K344" s="789">
        <v>44713</v>
      </c>
      <c r="L344" s="399">
        <v>0</v>
      </c>
      <c r="M344" s="399">
        <v>0</v>
      </c>
      <c r="N344" s="399">
        <v>14.611000000000001</v>
      </c>
      <c r="O344" s="399">
        <v>14.611000000000001</v>
      </c>
      <c r="P344" s="399">
        <v>14.611000000000001</v>
      </c>
      <c r="Q344" s="399">
        <v>14.611000000000001</v>
      </c>
      <c r="R344" s="399"/>
      <c r="S344" s="399">
        <v>345.46</v>
      </c>
      <c r="T344" s="399">
        <v>215.17</v>
      </c>
      <c r="U344" s="399"/>
      <c r="V344" s="399">
        <v>8191.3649299999997</v>
      </c>
      <c r="W344" s="399">
        <v>8191.3649299999997</v>
      </c>
      <c r="X344" s="399">
        <v>7024.9688000000006</v>
      </c>
      <c r="Y344" s="399">
        <v>0</v>
      </c>
      <c r="Z344" s="399">
        <v>0</v>
      </c>
      <c r="AA344" s="399">
        <v>0</v>
      </c>
      <c r="AB344" s="399">
        <v>0</v>
      </c>
      <c r="AC344" s="399">
        <v>0</v>
      </c>
      <c r="AD344" s="399">
        <v>1304.9899014659147</v>
      </c>
      <c r="AE344" s="399">
        <v>3693.8140956428256</v>
      </c>
      <c r="AF344" s="399">
        <v>3079.4426700494823</v>
      </c>
      <c r="AG344" s="399">
        <v>64.390303469446181</v>
      </c>
      <c r="AH344" s="399">
        <v>0</v>
      </c>
      <c r="AI344" s="399">
        <v>0</v>
      </c>
      <c r="AJ344" s="399">
        <v>0</v>
      </c>
      <c r="AK344" s="399">
        <v>0</v>
      </c>
      <c r="AL344" s="399">
        <v>0</v>
      </c>
      <c r="AM344" s="399"/>
      <c r="AN344" s="399">
        <v>17.202954563337233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31.441915611035927</v>
      </c>
      <c r="BH344" s="399">
        <v>0</v>
      </c>
      <c r="BI344" s="399">
        <v>0</v>
      </c>
      <c r="BJ344" s="399">
        <v>0</v>
      </c>
      <c r="BK344" s="399">
        <v>1414.96</v>
      </c>
      <c r="BL344" s="399">
        <v>123</v>
      </c>
      <c r="BM344" s="399"/>
      <c r="BN344" s="399"/>
      <c r="BO344" s="399"/>
      <c r="BP344" s="399"/>
      <c r="BQ344" s="399"/>
      <c r="BR344" s="399"/>
      <c r="BS344" s="399"/>
      <c r="BT344" s="399">
        <v>702.6429899999996</v>
      </c>
      <c r="BU344" s="399"/>
      <c r="BV344" s="399">
        <v>3110.884585660518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6321.8930999999993</v>
      </c>
      <c r="CJ344" s="399">
        <v>-1050.263060000003</v>
      </c>
      <c r="CK344" s="399"/>
      <c r="CL344" s="399"/>
      <c r="CM344" s="399"/>
      <c r="CN344" s="399"/>
      <c r="CO344" s="399">
        <v>-1563.5231099999999</v>
      </c>
      <c r="CP344" s="399">
        <v>397.12698000000012</v>
      </c>
      <c r="CQ344" s="399">
        <v>30</v>
      </c>
      <c r="CR344" s="399">
        <v>454.36916458097585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54.316527173020631</v>
      </c>
      <c r="DA344" s="399">
        <v>0</v>
      </c>
      <c r="DB344" s="399">
        <v>0</v>
      </c>
      <c r="DC344" s="399">
        <v>397.11945649156269</v>
      </c>
      <c r="DD344" s="399">
        <v>0</v>
      </c>
      <c r="DE344" s="399">
        <v>0</v>
      </c>
      <c r="DF344" s="399">
        <v>0</v>
      </c>
      <c r="DG344" s="399">
        <v>4.0546935846374375</v>
      </c>
      <c r="DH344" s="399">
        <v>0</v>
      </c>
      <c r="DI344" s="399">
        <v>0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0</v>
      </c>
      <c r="DP344" s="399">
        <v>-1.1215126682462682</v>
      </c>
      <c r="DQ344" s="399">
        <v>0</v>
      </c>
      <c r="DR344" s="399">
        <v>0</v>
      </c>
      <c r="DS344" s="399"/>
      <c r="DT344" s="399"/>
      <c r="DU344" s="399"/>
      <c r="DV344" s="399">
        <v>3693.8140956428256</v>
      </c>
      <c r="DW344" s="399">
        <v>0</v>
      </c>
      <c r="DX344" s="399">
        <v>0</v>
      </c>
      <c r="DY344" s="399">
        <v>-1563.5231100000001</v>
      </c>
      <c r="DZ344" s="399">
        <v>397.12698000000046</v>
      </c>
      <c r="EA344" s="399">
        <v>0</v>
      </c>
      <c r="EB344" s="399">
        <v>0</v>
      </c>
      <c r="EC344" s="399">
        <v>-1620.7433301446836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216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344</v>
      </c>
      <c r="B345" s="399" t="s">
        <v>954</v>
      </c>
      <c r="C345" s="399" t="s">
        <v>2352</v>
      </c>
      <c r="D345" s="399" t="s">
        <v>1821</v>
      </c>
      <c r="E345" s="399" t="s">
        <v>887</v>
      </c>
      <c r="F345" s="399" t="s">
        <v>2359</v>
      </c>
      <c r="G345" s="399" t="s">
        <v>1237</v>
      </c>
      <c r="H345" s="399" t="s">
        <v>1237</v>
      </c>
      <c r="I345" s="399" t="s">
        <v>1237</v>
      </c>
      <c r="J345" s="399" t="s">
        <v>2353</v>
      </c>
      <c r="K345" s="789">
        <v>44713</v>
      </c>
      <c r="L345" s="399">
        <v>0</v>
      </c>
      <c r="M345" s="399">
        <v>0</v>
      </c>
      <c r="N345" s="399">
        <v>3.9569999999999999</v>
      </c>
      <c r="O345" s="399">
        <v>3.9569999999999999</v>
      </c>
      <c r="P345" s="399">
        <v>3.9569999999999999</v>
      </c>
      <c r="Q345" s="399">
        <v>3.9569999999999999</v>
      </c>
      <c r="R345" s="399"/>
      <c r="S345" s="399">
        <v>345.46</v>
      </c>
      <c r="T345" s="399">
        <v>215.17</v>
      </c>
      <c r="U345" s="399"/>
      <c r="V345" s="399">
        <v>2218.4129099999996</v>
      </c>
      <c r="W345" s="399">
        <v>2218.4129099999996</v>
      </c>
      <c r="X345" s="399">
        <v>1902.5255999999999</v>
      </c>
      <c r="Y345" s="399">
        <v>0</v>
      </c>
      <c r="Z345" s="399">
        <v>0</v>
      </c>
      <c r="AA345" s="399">
        <v>0</v>
      </c>
      <c r="AB345" s="399">
        <v>0</v>
      </c>
      <c r="AC345" s="399">
        <v>0</v>
      </c>
      <c r="AD345" s="399">
        <v>353.42173979198031</v>
      </c>
      <c r="AE345" s="399">
        <v>1000.3711160398782</v>
      </c>
      <c r="AF345" s="399">
        <v>833.98498702250356</v>
      </c>
      <c r="AG345" s="399">
        <v>17.438397839203237</v>
      </c>
      <c r="AH345" s="399">
        <v>0</v>
      </c>
      <c r="AI345" s="399">
        <v>0</v>
      </c>
      <c r="AJ345" s="399">
        <v>0</v>
      </c>
      <c r="AK345" s="399">
        <v>0</v>
      </c>
      <c r="AL345" s="399">
        <v>0</v>
      </c>
      <c r="AM345" s="399"/>
      <c r="AN345" s="399">
        <v>4.6589618237715023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8.5152049875346769</v>
      </c>
      <c r="BH345" s="399">
        <v>0</v>
      </c>
      <c r="BI345" s="399">
        <v>0</v>
      </c>
      <c r="BJ345" s="399">
        <v>0</v>
      </c>
      <c r="BK345" s="399">
        <v>634.04</v>
      </c>
      <c r="BL345" s="399">
        <v>65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842.50019201003829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1903.9679999999998</v>
      </c>
      <c r="CJ345" s="399">
        <v>-314.47490999999991</v>
      </c>
      <c r="CK345" s="399"/>
      <c r="CL345" s="399"/>
      <c r="CM345" s="399"/>
      <c r="CN345" s="399"/>
      <c r="CO345" s="399">
        <v>-423.43856999999997</v>
      </c>
      <c r="CP345" s="399">
        <v>107.55126000000003</v>
      </c>
      <c r="CQ345" s="399">
        <v>30</v>
      </c>
      <c r="CR345" s="399">
        <v>123.05378031941086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14.710183972598884</v>
      </c>
      <c r="DA345" s="399">
        <v>0</v>
      </c>
      <c r="DB345" s="399">
        <v>0</v>
      </c>
      <c r="DC345" s="399">
        <v>107.54922245822422</v>
      </c>
      <c r="DD345" s="399">
        <v>0</v>
      </c>
      <c r="DE345" s="399">
        <v>0</v>
      </c>
      <c r="DF345" s="399">
        <v>0</v>
      </c>
      <c r="DG345" s="399">
        <v>1.0981057090144635</v>
      </c>
      <c r="DH345" s="399">
        <v>0</v>
      </c>
      <c r="DI345" s="399">
        <v>0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0</v>
      </c>
      <c r="DP345" s="399">
        <v>-0.30373182042642366</v>
      </c>
      <c r="DQ345" s="399">
        <v>0</v>
      </c>
      <c r="DR345" s="399">
        <v>0</v>
      </c>
      <c r="DS345" s="399"/>
      <c r="DT345" s="399"/>
      <c r="DU345" s="399"/>
      <c r="DV345" s="399">
        <v>1000.3711160398782</v>
      </c>
      <c r="DW345" s="399">
        <v>0</v>
      </c>
      <c r="DX345" s="399">
        <v>0</v>
      </c>
      <c r="DY345" s="399">
        <v>-423.43856999999991</v>
      </c>
      <c r="DZ345" s="399">
        <v>107.55126000000007</v>
      </c>
      <c r="EA345" s="399">
        <v>0</v>
      </c>
      <c r="EB345" s="399">
        <v>0</v>
      </c>
      <c r="EC345" s="399">
        <v>-438.9351418371441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216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345</v>
      </c>
      <c r="B346" s="399" t="s">
        <v>954</v>
      </c>
      <c r="C346" s="399" t="s">
        <v>2352</v>
      </c>
      <c r="D346" s="399" t="s">
        <v>1824</v>
      </c>
      <c r="E346" s="399" t="s">
        <v>888</v>
      </c>
      <c r="F346" s="399" t="s">
        <v>1237</v>
      </c>
      <c r="G346" s="399" t="s">
        <v>1237</v>
      </c>
      <c r="H346" s="399" t="s">
        <v>1237</v>
      </c>
      <c r="I346" s="399" t="s">
        <v>1237</v>
      </c>
      <c r="J346" s="399" t="s">
        <v>2353</v>
      </c>
      <c r="K346" s="789">
        <v>44713</v>
      </c>
      <c r="L346" s="399">
        <v>0</v>
      </c>
      <c r="M346" s="399">
        <v>0</v>
      </c>
      <c r="N346" s="399">
        <v>24.045000000000002</v>
      </c>
      <c r="O346" s="399">
        <v>24.045000000000002</v>
      </c>
      <c r="P346" s="399">
        <v>24.045000000000002</v>
      </c>
      <c r="Q346" s="399">
        <v>24.045000000000002</v>
      </c>
      <c r="R346" s="399"/>
      <c r="S346" s="399">
        <v>415.98</v>
      </c>
      <c r="T346" s="399">
        <v>215.17</v>
      </c>
      <c r="U346" s="399"/>
      <c r="V346" s="399">
        <v>15176.001749999999</v>
      </c>
      <c r="W346" s="399">
        <v>15176.001749999999</v>
      </c>
      <c r="X346" s="399">
        <v>13189.6443</v>
      </c>
      <c r="Y346" s="399">
        <v>0</v>
      </c>
      <c r="Z346" s="399">
        <v>1468.8272511747314</v>
      </c>
      <c r="AA346" s="399">
        <v>0</v>
      </c>
      <c r="AB346" s="399">
        <v>0</v>
      </c>
      <c r="AC346" s="399">
        <v>0</v>
      </c>
      <c r="AD346" s="399">
        <v>2147.5930587056273</v>
      </c>
      <c r="AE346" s="399">
        <v>6078.8282752536952</v>
      </c>
      <c r="AF346" s="399">
        <v>5067.7707892231747</v>
      </c>
      <c r="AG346" s="399">
        <v>105.96570028901741</v>
      </c>
      <c r="AH346" s="399">
        <v>0</v>
      </c>
      <c r="AI346" s="399">
        <v>0</v>
      </c>
      <c r="AJ346" s="399">
        <v>0</v>
      </c>
      <c r="AK346" s="399">
        <v>0</v>
      </c>
      <c r="AL346" s="399">
        <v>226.97148766345026</v>
      </c>
      <c r="AM346" s="399"/>
      <c r="AN346" s="399">
        <v>28.310522378717661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51.743266091804728</v>
      </c>
      <c r="BH346" s="399">
        <v>0</v>
      </c>
      <c r="BI346" s="399">
        <v>0</v>
      </c>
      <c r="BJ346" s="399">
        <v>0</v>
      </c>
      <c r="BK346" s="399">
        <v>4396.34</v>
      </c>
      <c r="BL346" s="399">
        <v>41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5119.5140553149795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13192.386999999999</v>
      </c>
      <c r="CJ346" s="399">
        <v>-1983.6447500000013</v>
      </c>
      <c r="CK346" s="399"/>
      <c r="CL346" s="399"/>
      <c r="CM346" s="399"/>
      <c r="CN346" s="399"/>
      <c r="CO346" s="399">
        <v>-2639.9005500000007</v>
      </c>
      <c r="CP346" s="399">
        <v>653.54310000000021</v>
      </c>
      <c r="CQ346" s="399">
        <v>30</v>
      </c>
      <c r="CR346" s="399">
        <v>680.80757486016773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89.387509128415786</v>
      </c>
      <c r="DA346" s="399">
        <v>0</v>
      </c>
      <c r="DB346" s="399">
        <v>0</v>
      </c>
      <c r="DC346" s="399">
        <v>653.5307187283297</v>
      </c>
      <c r="DD346" s="399">
        <v>0</v>
      </c>
      <c r="DE346" s="399">
        <v>0</v>
      </c>
      <c r="DF346" s="399">
        <v>0</v>
      </c>
      <c r="DG346" s="399">
        <v>6.6727196798718182</v>
      </c>
      <c r="DH346" s="399">
        <v>0</v>
      </c>
      <c r="DI346" s="399">
        <v>-59.721043359555097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-7.2166806886014569</v>
      </c>
      <c r="DP346" s="399">
        <v>-1.8456486282924836</v>
      </c>
      <c r="DQ346" s="399">
        <v>0</v>
      </c>
      <c r="DR346" s="399">
        <v>0</v>
      </c>
      <c r="DS346" s="399"/>
      <c r="DT346" s="399"/>
      <c r="DU346" s="399"/>
      <c r="DV346" s="399">
        <v>6078.8282752536952</v>
      </c>
      <c r="DW346" s="399">
        <v>0</v>
      </c>
      <c r="DX346" s="399">
        <v>0</v>
      </c>
      <c r="DY346" s="399">
        <v>-2639.9005500000003</v>
      </c>
      <c r="DZ346" s="399">
        <v>653.54310000000078</v>
      </c>
      <c r="EA346" s="399">
        <v>0</v>
      </c>
      <c r="EB346" s="399">
        <v>0</v>
      </c>
      <c r="EC346" s="399">
        <v>-2667.2215025206292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216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346</v>
      </c>
      <c r="B347" s="399" t="s">
        <v>2355</v>
      </c>
      <c r="C347" s="399" t="s">
        <v>2352</v>
      </c>
      <c r="D347" s="399" t="s">
        <v>1824</v>
      </c>
      <c r="E347" s="399" t="s">
        <v>888</v>
      </c>
      <c r="F347" s="399" t="s">
        <v>1237</v>
      </c>
      <c r="G347" s="399" t="s">
        <v>1237</v>
      </c>
      <c r="H347" s="399" t="s">
        <v>1237</v>
      </c>
      <c r="I347" s="399" t="s">
        <v>1237</v>
      </c>
      <c r="J347" s="399" t="s">
        <v>2353</v>
      </c>
      <c r="K347" s="789">
        <v>44713</v>
      </c>
      <c r="L347" s="399">
        <v>0</v>
      </c>
      <c r="M347" s="399">
        <v>0</v>
      </c>
      <c r="N347" s="399">
        <v>2.9260000000000002</v>
      </c>
      <c r="O347" s="399">
        <v>2.9260000000000002</v>
      </c>
      <c r="P347" s="399">
        <v>2.9260000000000002</v>
      </c>
      <c r="Q347" s="399">
        <v>2.9260000000000002</v>
      </c>
      <c r="R347" s="399"/>
      <c r="S347" s="399">
        <v>415.98</v>
      </c>
      <c r="T347" s="399">
        <v>215.17</v>
      </c>
      <c r="U347" s="399"/>
      <c r="V347" s="399">
        <v>1846.7449000000001</v>
      </c>
      <c r="W347" s="399">
        <v>1846.7449000000001</v>
      </c>
      <c r="X347" s="399">
        <v>1605.0280400000001</v>
      </c>
      <c r="Y347" s="399">
        <v>0</v>
      </c>
      <c r="Z347" s="399">
        <v>178.73938602359178</v>
      </c>
      <c r="AA347" s="399">
        <v>0</v>
      </c>
      <c r="AB347" s="399">
        <v>0</v>
      </c>
      <c r="AC347" s="399">
        <v>0</v>
      </c>
      <c r="AD347" s="399">
        <v>261.33737948732232</v>
      </c>
      <c r="AE347" s="399">
        <v>739.72349899739288</v>
      </c>
      <c r="AF347" s="399">
        <v>616.68942937271811</v>
      </c>
      <c r="AG347" s="399">
        <v>12.894807196742146</v>
      </c>
      <c r="AH347" s="399">
        <v>0</v>
      </c>
      <c r="AI347" s="399">
        <v>0</v>
      </c>
      <c r="AJ347" s="399">
        <v>0</v>
      </c>
      <c r="AK347" s="399">
        <v>0</v>
      </c>
      <c r="AL347" s="399">
        <v>27.619820041724079</v>
      </c>
      <c r="AM347" s="399"/>
      <c r="AN347" s="399">
        <v>3.4450650230870399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6.296560473471434</v>
      </c>
      <c r="BH347" s="399">
        <v>0</v>
      </c>
      <c r="BI347" s="399">
        <v>0</v>
      </c>
      <c r="BJ347" s="399">
        <v>0</v>
      </c>
      <c r="BK347" s="399">
        <v>1302.5</v>
      </c>
      <c r="BL347" s="399">
        <v>3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622.98598984618957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1607.2222000000002</v>
      </c>
      <c r="CJ347" s="399">
        <v>-239.55269999999996</v>
      </c>
      <c r="CK347" s="399"/>
      <c r="CL347" s="399"/>
      <c r="CM347" s="399"/>
      <c r="CN347" s="399"/>
      <c r="CO347" s="399">
        <v>-321.24554000000006</v>
      </c>
      <c r="CP347" s="399">
        <v>79.528680000000023</v>
      </c>
      <c r="CQ347" s="399">
        <v>30</v>
      </c>
      <c r="CR347" s="399">
        <v>82.846453068864776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10.87743196962964</v>
      </c>
      <c r="DA347" s="399">
        <v>0</v>
      </c>
      <c r="DB347" s="399">
        <v>0</v>
      </c>
      <c r="DC347" s="399">
        <v>79.527173341613434</v>
      </c>
      <c r="DD347" s="399">
        <v>0</v>
      </c>
      <c r="DE347" s="399">
        <v>0</v>
      </c>
      <c r="DF347" s="399">
        <v>0</v>
      </c>
      <c r="DG347" s="399">
        <v>0.81199325362050079</v>
      </c>
      <c r="DH347" s="399">
        <v>0</v>
      </c>
      <c r="DI347" s="399">
        <v>-7.2673642283243396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-0.87818705322719381</v>
      </c>
      <c r="DP347" s="399">
        <v>-0.22459421444723704</v>
      </c>
      <c r="DQ347" s="399">
        <v>0</v>
      </c>
      <c r="DR347" s="399">
        <v>0</v>
      </c>
      <c r="DS347" s="399"/>
      <c r="DT347" s="399"/>
      <c r="DU347" s="399"/>
      <c r="DV347" s="399">
        <v>739.72349899739288</v>
      </c>
      <c r="DW347" s="399">
        <v>0</v>
      </c>
      <c r="DX347" s="399">
        <v>0</v>
      </c>
      <c r="DY347" s="399">
        <v>-321.24554000000001</v>
      </c>
      <c r="DZ347" s="399">
        <v>79.528680000000122</v>
      </c>
      <c r="EA347" s="399">
        <v>0</v>
      </c>
      <c r="EB347" s="399">
        <v>0</v>
      </c>
      <c r="EC347" s="399">
        <v>-324.57018575069083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216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347</v>
      </c>
      <c r="B348" s="399" t="s">
        <v>954</v>
      </c>
      <c r="C348" s="399" t="s">
        <v>2360</v>
      </c>
      <c r="D348" s="399" t="s">
        <v>533</v>
      </c>
      <c r="E348" s="399" t="s">
        <v>888</v>
      </c>
      <c r="F348" s="399" t="s">
        <v>1237</v>
      </c>
      <c r="G348" s="399" t="s">
        <v>1237</v>
      </c>
      <c r="H348" s="399" t="s">
        <v>1237</v>
      </c>
      <c r="I348" s="399" t="s">
        <v>891</v>
      </c>
      <c r="J348" s="399" t="s">
        <v>2353</v>
      </c>
      <c r="K348" s="789">
        <v>44713</v>
      </c>
      <c r="L348" s="399">
        <v>0</v>
      </c>
      <c r="M348" s="399">
        <v>0</v>
      </c>
      <c r="N348" s="399">
        <v>109.89700000000001</v>
      </c>
      <c r="O348" s="399">
        <v>109.89700000000001</v>
      </c>
      <c r="P348" s="399">
        <v>109.89700000000001</v>
      </c>
      <c r="Q348" s="399">
        <v>109.89700000000001</v>
      </c>
      <c r="R348" s="399"/>
      <c r="S348" s="399">
        <v>2184.0300000000002</v>
      </c>
      <c r="T348" s="399">
        <v>215.17</v>
      </c>
      <c r="U348" s="399"/>
      <c r="V348" s="399">
        <v>263664.88240000006</v>
      </c>
      <c r="W348" s="399">
        <v>263664.88240000006</v>
      </c>
      <c r="X348" s="399">
        <v>198956.42983000001</v>
      </c>
      <c r="Y348" s="399">
        <v>0</v>
      </c>
      <c r="Z348" s="399">
        <v>5840.5134675584877</v>
      </c>
      <c r="AA348" s="399">
        <v>0</v>
      </c>
      <c r="AB348" s="399">
        <v>0</v>
      </c>
      <c r="AC348" s="399">
        <v>0</v>
      </c>
      <c r="AD348" s="399">
        <v>72421.492867431851</v>
      </c>
      <c r="AE348" s="399">
        <v>160551.61277701103</v>
      </c>
      <c r="AF348" s="399">
        <v>23162.104654741492</v>
      </c>
      <c r="AG348" s="399">
        <v>484.31326948064651</v>
      </c>
      <c r="AH348" s="399">
        <v>0</v>
      </c>
      <c r="AI348" s="399">
        <v>0</v>
      </c>
      <c r="AJ348" s="399">
        <v>0</v>
      </c>
      <c r="AK348" s="399">
        <v>0</v>
      </c>
      <c r="AL348" s="399">
        <v>1037.3668363381241</v>
      </c>
      <c r="AM348" s="399"/>
      <c r="AN348" s="399">
        <v>75.814934190655919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91.308041060060788</v>
      </c>
      <c r="BH348" s="399">
        <v>0</v>
      </c>
      <c r="BI348" s="399">
        <v>0</v>
      </c>
      <c r="BJ348" s="399">
        <v>0</v>
      </c>
      <c r="BK348" s="399">
        <v>0</v>
      </c>
      <c r="BL348" s="399">
        <v>0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>
        <v>23253.412695801551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198961.86099999998</v>
      </c>
      <c r="CJ348" s="399">
        <v>-64703.051400000113</v>
      </c>
      <c r="CK348" s="399"/>
      <c r="CL348" s="399"/>
      <c r="CM348" s="399"/>
      <c r="CN348" s="399"/>
      <c r="CO348" s="399">
        <v>-67695.453030000033</v>
      </c>
      <c r="CP348" s="399">
        <v>2987.0004600000011</v>
      </c>
      <c r="CQ348" s="399">
        <v>30</v>
      </c>
      <c r="CR348" s="399">
        <v>5737.663686560496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3014.3405560654501</v>
      </c>
      <c r="DA348" s="399">
        <v>0</v>
      </c>
      <c r="DB348" s="399">
        <v>0</v>
      </c>
      <c r="DC348" s="399">
        <v>2986.9438717441153</v>
      </c>
      <c r="DD348" s="399">
        <v>0</v>
      </c>
      <c r="DE348" s="399">
        <v>0</v>
      </c>
      <c r="DF348" s="399">
        <v>0</v>
      </c>
      <c r="DG348" s="399">
        <v>11.774922777990554</v>
      </c>
      <c r="DH348" s="399">
        <v>0</v>
      </c>
      <c r="DI348" s="399">
        <v>-237.46942178472636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-32.983637248294258</v>
      </c>
      <c r="DP348" s="399">
        <v>-4.9426049940451833</v>
      </c>
      <c r="DQ348" s="399">
        <v>0</v>
      </c>
      <c r="DR348" s="399">
        <v>0</v>
      </c>
      <c r="DS348" s="399"/>
      <c r="DT348" s="399"/>
      <c r="DU348" s="399"/>
      <c r="DV348" s="399">
        <v>160551.61277701103</v>
      </c>
      <c r="DW348" s="399">
        <v>0</v>
      </c>
      <c r="DX348" s="399">
        <v>0</v>
      </c>
      <c r="DY348" s="399">
        <v>-67695.453030000033</v>
      </c>
      <c r="DZ348" s="399">
        <v>2987.0004600000029</v>
      </c>
      <c r="EA348" s="399">
        <v>0</v>
      </c>
      <c r="EB348" s="399">
        <v>0</v>
      </c>
      <c r="EC348" s="399">
        <v>-70445.601433828604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216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348</v>
      </c>
      <c r="B349" s="399" t="s">
        <v>954</v>
      </c>
      <c r="C349" s="399" t="s">
        <v>2360</v>
      </c>
      <c r="D349" s="399" t="s">
        <v>533</v>
      </c>
      <c r="E349" s="399" t="s">
        <v>888</v>
      </c>
      <c r="F349" s="399" t="s">
        <v>1237</v>
      </c>
      <c r="G349" s="399" t="s">
        <v>1237</v>
      </c>
      <c r="H349" s="399" t="s">
        <v>1237</v>
      </c>
      <c r="I349" s="399" t="s">
        <v>2327</v>
      </c>
      <c r="J349" s="399" t="s">
        <v>2353</v>
      </c>
      <c r="K349" s="789">
        <v>44713</v>
      </c>
      <c r="L349" s="399">
        <v>0</v>
      </c>
      <c r="M349" s="399">
        <v>0</v>
      </c>
      <c r="N349" s="399">
        <v>2038.23</v>
      </c>
      <c r="O349" s="399">
        <v>2038.23</v>
      </c>
      <c r="P349" s="399">
        <v>2038.23</v>
      </c>
      <c r="Q349" s="399">
        <v>2038.23</v>
      </c>
      <c r="R349" s="399"/>
      <c r="S349" s="399">
        <v>64.11</v>
      </c>
      <c r="T349" s="399">
        <v>215.17</v>
      </c>
      <c r="U349" s="399"/>
      <c r="V349" s="399">
        <v>569236.87439999997</v>
      </c>
      <c r="W349" s="399">
        <v>569236.87439999997</v>
      </c>
      <c r="X349" s="399">
        <v>619744.21380000003</v>
      </c>
      <c r="Y349" s="399">
        <v>0</v>
      </c>
      <c r="Z349" s="399">
        <v>108322.42704515807</v>
      </c>
      <c r="AA349" s="399">
        <v>0</v>
      </c>
      <c r="AB349" s="399">
        <v>0</v>
      </c>
      <c r="AC349" s="399">
        <v>0</v>
      </c>
      <c r="AD349" s="399">
        <v>0</v>
      </c>
      <c r="AE349" s="399">
        <v>0</v>
      </c>
      <c r="AF349" s="399">
        <v>429581.30404318363</v>
      </c>
      <c r="AG349" s="399">
        <v>8982.4275026027844</v>
      </c>
      <c r="AH349" s="399">
        <v>0</v>
      </c>
      <c r="AI349" s="399">
        <v>0</v>
      </c>
      <c r="AJ349" s="399">
        <v>0</v>
      </c>
      <c r="AK349" s="399">
        <v>0</v>
      </c>
      <c r="AL349" s="399">
        <v>19239.762749023674</v>
      </c>
      <c r="AM349" s="399"/>
      <c r="AN349" s="399">
        <v>1406.1191235012839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1693.4655953287868</v>
      </c>
      <c r="BH349" s="399">
        <v>0</v>
      </c>
      <c r="BI349" s="399">
        <v>0</v>
      </c>
      <c r="BJ349" s="399">
        <v>0</v>
      </c>
      <c r="BK349" s="399">
        <v>0</v>
      </c>
      <c r="BL349" s="399">
        <v>0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431274.7696385124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619744.21380000003</v>
      </c>
      <c r="CJ349" s="399">
        <v>50507.309400000027</v>
      </c>
      <c r="CK349" s="399"/>
      <c r="CL349" s="399"/>
      <c r="CM349" s="399"/>
      <c r="CN349" s="399"/>
      <c r="CO349" s="399">
        <v>-4891.7519999999968</v>
      </c>
      <c r="CP349" s="399">
        <v>55399.091400000012</v>
      </c>
      <c r="CQ349" s="399">
        <v>30</v>
      </c>
      <c r="CR349" s="399">
        <v>50508.739130903501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0</v>
      </c>
      <c r="DA349" s="399">
        <v>0</v>
      </c>
      <c r="DB349" s="399">
        <v>0</v>
      </c>
      <c r="DC349" s="399">
        <v>55398.041872890142</v>
      </c>
      <c r="DD349" s="399">
        <v>0</v>
      </c>
      <c r="DE349" s="399">
        <v>0</v>
      </c>
      <c r="DF349" s="399">
        <v>0</v>
      </c>
      <c r="DG349" s="399">
        <v>218.38631494748461</v>
      </c>
      <c r="DH349" s="399">
        <v>0</v>
      </c>
      <c r="DI349" s="399">
        <v>-4404.2812775988714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-611.73861842080078</v>
      </c>
      <c r="DP349" s="399">
        <v>-91.669160914426357</v>
      </c>
      <c r="DQ349" s="399">
        <v>0</v>
      </c>
      <c r="DR349" s="399">
        <v>0</v>
      </c>
      <c r="DS349" s="399"/>
      <c r="DT349" s="399"/>
      <c r="DU349" s="399"/>
      <c r="DV349" s="399">
        <v>0</v>
      </c>
      <c r="DW349" s="399">
        <v>0</v>
      </c>
      <c r="DX349" s="399">
        <v>0</v>
      </c>
      <c r="DY349" s="399">
        <v>-4891.7519999999931</v>
      </c>
      <c r="DZ349" s="399">
        <v>55399.091400000034</v>
      </c>
      <c r="EA349" s="399">
        <v>0</v>
      </c>
      <c r="EB349" s="399">
        <v>0</v>
      </c>
      <c r="EC349" s="399">
        <v>0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216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349</v>
      </c>
      <c r="B350" s="399" t="s">
        <v>954</v>
      </c>
      <c r="C350" s="399" t="s">
        <v>2360</v>
      </c>
      <c r="D350" s="399" t="s">
        <v>533</v>
      </c>
      <c r="E350" s="399" t="s">
        <v>888</v>
      </c>
      <c r="F350" s="399" t="s">
        <v>1237</v>
      </c>
      <c r="G350" s="399" t="s">
        <v>1237</v>
      </c>
      <c r="H350" s="399" t="s">
        <v>1237</v>
      </c>
      <c r="I350" s="399" t="s">
        <v>1237</v>
      </c>
      <c r="J350" s="399" t="s">
        <v>2353</v>
      </c>
      <c r="K350" s="789">
        <v>44713</v>
      </c>
      <c r="L350" s="399">
        <v>6754</v>
      </c>
      <c r="M350" s="399">
        <v>6754</v>
      </c>
      <c r="N350" s="399">
        <v>0</v>
      </c>
      <c r="O350" s="399">
        <v>0</v>
      </c>
      <c r="P350" s="399">
        <v>0</v>
      </c>
      <c r="Q350" s="399">
        <v>0</v>
      </c>
      <c r="R350" s="399">
        <v>28.04</v>
      </c>
      <c r="S350" s="399"/>
      <c r="T350" s="399"/>
      <c r="U350" s="399">
        <v>189382.16</v>
      </c>
      <c r="V350" s="399"/>
      <c r="W350" s="399">
        <v>189382.16</v>
      </c>
      <c r="X350" s="399">
        <v>142239.24</v>
      </c>
      <c r="Y350" s="399">
        <v>0</v>
      </c>
      <c r="Z350" s="399">
        <v>0</v>
      </c>
      <c r="AA350" s="399">
        <v>0</v>
      </c>
      <c r="AB350" s="399">
        <v>0</v>
      </c>
      <c r="AC350" s="399">
        <v>0</v>
      </c>
      <c r="AD350" s="399">
        <v>74771.35512248204</v>
      </c>
      <c r="AE350" s="399">
        <v>114644.42152653435</v>
      </c>
      <c r="AF350" s="399"/>
      <c r="AG350" s="399"/>
      <c r="AH350" s="399"/>
      <c r="AI350" s="399">
        <v>0</v>
      </c>
      <c r="AJ350" s="399">
        <v>0</v>
      </c>
      <c r="AK350" s="399">
        <v>0</v>
      </c>
      <c r="AL350" s="399">
        <v>0</v>
      </c>
      <c r="AM350" s="399"/>
      <c r="AN350" s="399">
        <v>0</v>
      </c>
      <c r="AO350" s="399">
        <v>0</v>
      </c>
      <c r="AP350" s="399">
        <v>0</v>
      </c>
      <c r="AQ350" s="399">
        <v>0</v>
      </c>
      <c r="AR350" s="399">
        <v>0</v>
      </c>
      <c r="AS350" s="399"/>
      <c r="AT350" s="399"/>
      <c r="AU350" s="399">
        <v>0</v>
      </c>
      <c r="AV350" s="399">
        <v>0</v>
      </c>
      <c r="AW350" s="399">
        <v>0</v>
      </c>
      <c r="AX350" s="399"/>
      <c r="AY350" s="399"/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/>
      <c r="BG350" s="399">
        <v>0</v>
      </c>
      <c r="BH350" s="399">
        <v>0</v>
      </c>
      <c r="BI350" s="399">
        <v>0</v>
      </c>
      <c r="BJ350" s="399">
        <v>0</v>
      </c>
      <c r="BK350" s="399">
        <v>293327.63</v>
      </c>
      <c r="BL350" s="399">
        <v>16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0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142239.24</v>
      </c>
      <c r="CJ350" s="399">
        <v>-47142.950000000041</v>
      </c>
      <c r="CK350" s="399"/>
      <c r="CL350" s="399"/>
      <c r="CM350" s="399"/>
      <c r="CN350" s="399"/>
      <c r="CO350" s="399">
        <v>-47142.920000000006</v>
      </c>
      <c r="CP350" s="399">
        <v>0</v>
      </c>
      <c r="CQ350" s="399">
        <v>30</v>
      </c>
      <c r="CR350" s="399">
        <v>3112.1469504945999</v>
      </c>
      <c r="CS350" s="399">
        <v>0</v>
      </c>
      <c r="CT350" s="399">
        <v>0</v>
      </c>
      <c r="CU350" s="399">
        <v>0</v>
      </c>
      <c r="CV350" s="399">
        <v>0</v>
      </c>
      <c r="CW350" s="399"/>
      <c r="CX350" s="399"/>
      <c r="CY350" s="399"/>
      <c r="CZ350" s="399">
        <v>3112.1469504945999</v>
      </c>
      <c r="DA350" s="399">
        <v>0</v>
      </c>
      <c r="DB350" s="399">
        <v>0</v>
      </c>
      <c r="DC350" s="399"/>
      <c r="DD350" s="399"/>
      <c r="DE350" s="399">
        <v>0</v>
      </c>
      <c r="DF350" s="399">
        <v>0</v>
      </c>
      <c r="DG350" s="399">
        <v>0</v>
      </c>
      <c r="DH350" s="399">
        <v>0</v>
      </c>
      <c r="DI350" s="399">
        <v>0</v>
      </c>
      <c r="DJ350" s="399"/>
      <c r="DK350" s="399">
        <v>0</v>
      </c>
      <c r="DL350" s="399">
        <v>0</v>
      </c>
      <c r="DM350" s="399"/>
      <c r="DN350" s="399">
        <v>0</v>
      </c>
      <c r="DO350" s="399">
        <v>0</v>
      </c>
      <c r="DP350" s="399">
        <v>0</v>
      </c>
      <c r="DQ350" s="399">
        <v>0</v>
      </c>
      <c r="DR350" s="399">
        <v>0</v>
      </c>
      <c r="DS350" s="399"/>
      <c r="DT350" s="399"/>
      <c r="DU350" s="399">
        <v>114644.42152653435</v>
      </c>
      <c r="DV350" s="399"/>
      <c r="DW350" s="399">
        <v>0</v>
      </c>
      <c r="DX350" s="399">
        <v>0</v>
      </c>
      <c r="DY350" s="399">
        <v>-47142.920000000013</v>
      </c>
      <c r="DZ350" s="399"/>
      <c r="EA350" s="399">
        <v>0</v>
      </c>
      <c r="EB350" s="399"/>
      <c r="EC350" s="399">
        <v>-50302.797248676972</v>
      </c>
      <c r="ED350" s="399"/>
      <c r="EE350" s="399">
        <v>0</v>
      </c>
      <c r="EF350" s="399">
        <v>0</v>
      </c>
      <c r="EG350" s="399"/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/>
      <c r="EN350" s="399"/>
      <c r="EO350" s="399">
        <v>0</v>
      </c>
      <c r="EP350" s="399">
        <v>0</v>
      </c>
      <c r="EQ350" s="399"/>
      <c r="ER350" s="399">
        <v>0</v>
      </c>
      <c r="ES350" s="399"/>
      <c r="ET350" s="399">
        <v>0</v>
      </c>
      <c r="EU350" s="399"/>
      <c r="EV350" s="399">
        <v>216</v>
      </c>
      <c r="EW350" s="399"/>
      <c r="EX350" s="399"/>
      <c r="EY350" s="399"/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350</v>
      </c>
      <c r="B351" s="399" t="s">
        <v>954</v>
      </c>
      <c r="C351" s="399" t="s">
        <v>2352</v>
      </c>
      <c r="D351" s="399" t="s">
        <v>1824</v>
      </c>
      <c r="E351" s="399" t="s">
        <v>916</v>
      </c>
      <c r="F351" s="399" t="s">
        <v>1237</v>
      </c>
      <c r="G351" s="399" t="s">
        <v>1237</v>
      </c>
      <c r="H351" s="399" t="s">
        <v>1237</v>
      </c>
      <c r="I351" s="399" t="s">
        <v>1237</v>
      </c>
      <c r="J351" s="399" t="s">
        <v>2353</v>
      </c>
      <c r="K351" s="789">
        <v>44713</v>
      </c>
      <c r="L351" s="399">
        <v>0</v>
      </c>
      <c r="M351" s="399">
        <v>0</v>
      </c>
      <c r="N351" s="399">
        <v>165.26300000000001</v>
      </c>
      <c r="O351" s="399">
        <v>165.26300000000001</v>
      </c>
      <c r="P351" s="399">
        <v>165.26300000000001</v>
      </c>
      <c r="Q351" s="399">
        <v>165.26300000000001</v>
      </c>
      <c r="R351" s="399"/>
      <c r="S351" s="399">
        <v>415.98</v>
      </c>
      <c r="T351" s="399">
        <v>215.17</v>
      </c>
      <c r="U351" s="399"/>
      <c r="V351" s="399">
        <v>104305.74244999999</v>
      </c>
      <c r="W351" s="399">
        <v>104305.74244999999</v>
      </c>
      <c r="X351" s="399">
        <v>90653.366020000001</v>
      </c>
      <c r="Y351" s="399">
        <v>0</v>
      </c>
      <c r="Z351" s="399">
        <v>10095.354460839661</v>
      </c>
      <c r="AA351" s="399">
        <v>0</v>
      </c>
      <c r="AB351" s="399">
        <v>0</v>
      </c>
      <c r="AC351" s="399">
        <v>0</v>
      </c>
      <c r="AD351" s="399">
        <v>14760.560268699026</v>
      </c>
      <c r="AE351" s="399">
        <v>41780.220305812079</v>
      </c>
      <c r="AF351" s="399">
        <v>34831.150091053831</v>
      </c>
      <c r="AG351" s="399">
        <v>728.30981604757255</v>
      </c>
      <c r="AH351" s="399">
        <v>0</v>
      </c>
      <c r="AI351" s="399">
        <v>0</v>
      </c>
      <c r="AJ351" s="399">
        <v>0</v>
      </c>
      <c r="AK351" s="399">
        <v>0</v>
      </c>
      <c r="AL351" s="399">
        <v>1559.9912233613966</v>
      </c>
      <c r="AM351" s="399"/>
      <c r="AN351" s="399">
        <v>194.58023954560269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355.63515841671551</v>
      </c>
      <c r="BH351" s="399">
        <v>0</v>
      </c>
      <c r="BI351" s="399">
        <v>0</v>
      </c>
      <c r="BJ351" s="399">
        <v>0</v>
      </c>
      <c r="BK351" s="399">
        <v>29586.09</v>
      </c>
      <c r="BL351" s="399">
        <v>442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35186.785249470544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90651.720399999991</v>
      </c>
      <c r="CJ351" s="399">
        <v>-13654.052049999984</v>
      </c>
      <c r="CK351" s="399"/>
      <c r="CL351" s="399"/>
      <c r="CM351" s="399"/>
      <c r="CN351" s="399"/>
      <c r="CO351" s="399">
        <v>-18144.224770000004</v>
      </c>
      <c r="CP351" s="399">
        <v>4491.8483400000014</v>
      </c>
      <c r="CQ351" s="399">
        <v>30</v>
      </c>
      <c r="CR351" s="399">
        <v>4679.2390203417162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614.36672576790806</v>
      </c>
      <c r="DA351" s="399">
        <v>0</v>
      </c>
      <c r="DB351" s="399">
        <v>0</v>
      </c>
      <c r="DC351" s="399">
        <v>4491.7632426367272</v>
      </c>
      <c r="DD351" s="399">
        <v>0</v>
      </c>
      <c r="DE351" s="399">
        <v>0</v>
      </c>
      <c r="DF351" s="399">
        <v>0</v>
      </c>
      <c r="DG351" s="399">
        <v>45.862078288819134</v>
      </c>
      <c r="DH351" s="399">
        <v>0</v>
      </c>
      <c r="DI351" s="399">
        <v>-410.46699058973536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-49.600761099619149</v>
      </c>
      <c r="DP351" s="399">
        <v>-12.685274662403884</v>
      </c>
      <c r="DQ351" s="399">
        <v>0</v>
      </c>
      <c r="DR351" s="399">
        <v>0</v>
      </c>
      <c r="DS351" s="399"/>
      <c r="DT351" s="399"/>
      <c r="DU351" s="399"/>
      <c r="DV351" s="399">
        <v>41780.220305812079</v>
      </c>
      <c r="DW351" s="399">
        <v>0</v>
      </c>
      <c r="DX351" s="399">
        <v>0</v>
      </c>
      <c r="DY351" s="399">
        <v>-18144.224770000001</v>
      </c>
      <c r="DZ351" s="399">
        <v>4491.8483400000041</v>
      </c>
      <c r="EA351" s="399">
        <v>0</v>
      </c>
      <c r="EB351" s="399">
        <v>0</v>
      </c>
      <c r="EC351" s="399">
        <v>-18332.003625330286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216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351</v>
      </c>
      <c r="B352" s="399" t="s">
        <v>2355</v>
      </c>
      <c r="C352" s="399" t="s">
        <v>2352</v>
      </c>
      <c r="D352" s="399" t="s">
        <v>1824</v>
      </c>
      <c r="E352" s="399" t="s">
        <v>916</v>
      </c>
      <c r="F352" s="399" t="s">
        <v>1237</v>
      </c>
      <c r="G352" s="399" t="s">
        <v>1237</v>
      </c>
      <c r="H352" s="399" t="s">
        <v>1237</v>
      </c>
      <c r="I352" s="399" t="s">
        <v>1237</v>
      </c>
      <c r="J352" s="399" t="s">
        <v>2353</v>
      </c>
      <c r="K352" s="789">
        <v>44713</v>
      </c>
      <c r="L352" s="399">
        <v>0</v>
      </c>
      <c r="M352" s="399">
        <v>0</v>
      </c>
      <c r="N352" s="399">
        <v>1.6359999999999999</v>
      </c>
      <c r="O352" s="399">
        <v>1.6359999999999999</v>
      </c>
      <c r="P352" s="399">
        <v>1.6359999999999999</v>
      </c>
      <c r="Q352" s="399">
        <v>1.6359999999999999</v>
      </c>
      <c r="R352" s="399"/>
      <c r="S352" s="399">
        <v>415.98</v>
      </c>
      <c r="T352" s="399">
        <v>215.17</v>
      </c>
      <c r="U352" s="399"/>
      <c r="V352" s="399">
        <v>1032.5614</v>
      </c>
      <c r="W352" s="399">
        <v>1032.5614</v>
      </c>
      <c r="X352" s="399">
        <v>897.41143999999986</v>
      </c>
      <c r="Y352" s="399">
        <v>0</v>
      </c>
      <c r="Z352" s="399">
        <v>99.937674482090259</v>
      </c>
      <c r="AA352" s="399">
        <v>0</v>
      </c>
      <c r="AB352" s="399">
        <v>0</v>
      </c>
      <c r="AC352" s="399">
        <v>0</v>
      </c>
      <c r="AD352" s="399">
        <v>146.12028463474343</v>
      </c>
      <c r="AE352" s="399">
        <v>413.59796457954019</v>
      </c>
      <c r="AF352" s="399">
        <v>344.80652988850539</v>
      </c>
      <c r="AG352" s="399">
        <v>7.2098101756220609</v>
      </c>
      <c r="AH352" s="399">
        <v>0</v>
      </c>
      <c r="AI352" s="399">
        <v>0</v>
      </c>
      <c r="AJ352" s="399">
        <v>0</v>
      </c>
      <c r="AK352" s="399">
        <v>0</v>
      </c>
      <c r="AL352" s="399">
        <v>15.442934240690564</v>
      </c>
      <c r="AM352" s="399"/>
      <c r="AN352" s="399">
        <v>1.9262222753829106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3.5205649127133509</v>
      </c>
      <c r="BH352" s="399">
        <v>0</v>
      </c>
      <c r="BI352" s="399">
        <v>0</v>
      </c>
      <c r="BJ352" s="399">
        <v>0</v>
      </c>
      <c r="BK352" s="399">
        <v>634.66</v>
      </c>
      <c r="BL352" s="399">
        <v>8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348.32709480121872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899.60559999999987</v>
      </c>
      <c r="CJ352" s="399">
        <v>-132.98580000000015</v>
      </c>
      <c r="CK352" s="399"/>
      <c r="CL352" s="399"/>
      <c r="CM352" s="399"/>
      <c r="CN352" s="399"/>
      <c r="CO352" s="399">
        <v>-179.61644000000001</v>
      </c>
      <c r="CP352" s="399">
        <v>44.466480000000011</v>
      </c>
      <c r="CQ352" s="399">
        <v>30</v>
      </c>
      <c r="CR352" s="399">
        <v>46.321530150602484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6.0818450793964587</v>
      </c>
      <c r="DA352" s="399">
        <v>0</v>
      </c>
      <c r="DB352" s="399">
        <v>0</v>
      </c>
      <c r="DC352" s="399">
        <v>44.46563758950083</v>
      </c>
      <c r="DD352" s="399">
        <v>0</v>
      </c>
      <c r="DE352" s="399">
        <v>0</v>
      </c>
      <c r="DF352" s="399">
        <v>0</v>
      </c>
      <c r="DG352" s="399">
        <v>0.45400579730797652</v>
      </c>
      <c r="DH352" s="399">
        <v>0</v>
      </c>
      <c r="DI352" s="399">
        <v>-4.0633656450917925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-0.49101641116872585</v>
      </c>
      <c r="DP352" s="399">
        <v>-0.12557625934233729</v>
      </c>
      <c r="DQ352" s="399">
        <v>0</v>
      </c>
      <c r="DR352" s="399">
        <v>0</v>
      </c>
      <c r="DS352" s="399"/>
      <c r="DT352" s="399"/>
      <c r="DU352" s="399"/>
      <c r="DV352" s="399">
        <v>413.59796457954019</v>
      </c>
      <c r="DW352" s="399">
        <v>0</v>
      </c>
      <c r="DX352" s="399">
        <v>0</v>
      </c>
      <c r="DY352" s="399">
        <v>-179.61644000000001</v>
      </c>
      <c r="DZ352" s="399">
        <v>44.46647999999999</v>
      </c>
      <c r="EA352" s="399">
        <v>0</v>
      </c>
      <c r="EB352" s="399">
        <v>0</v>
      </c>
      <c r="EC352" s="399">
        <v>-181.47533283941561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216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352</v>
      </c>
      <c r="B353" s="399" t="s">
        <v>954</v>
      </c>
      <c r="C353" s="399" t="s">
        <v>2360</v>
      </c>
      <c r="D353" s="399" t="s">
        <v>533</v>
      </c>
      <c r="E353" s="399" t="s">
        <v>916</v>
      </c>
      <c r="F353" s="399" t="s">
        <v>1237</v>
      </c>
      <c r="G353" s="399" t="s">
        <v>1237</v>
      </c>
      <c r="H353" s="399" t="s">
        <v>1237</v>
      </c>
      <c r="I353" s="399" t="s">
        <v>891</v>
      </c>
      <c r="J353" s="399" t="s">
        <v>2353</v>
      </c>
      <c r="K353" s="789">
        <v>44713</v>
      </c>
      <c r="L353" s="399">
        <v>0</v>
      </c>
      <c r="M353" s="399">
        <v>0</v>
      </c>
      <c r="N353" s="399">
        <v>2.3119999999999998</v>
      </c>
      <c r="O353" s="399">
        <v>2.3119999999999998</v>
      </c>
      <c r="P353" s="399">
        <v>2.3119999999999998</v>
      </c>
      <c r="Q353" s="399">
        <v>2.3119999999999998</v>
      </c>
      <c r="R353" s="399"/>
      <c r="S353" s="399">
        <v>2184.0300000000002</v>
      </c>
      <c r="T353" s="399">
        <v>215.17</v>
      </c>
      <c r="U353" s="399"/>
      <c r="V353" s="399">
        <v>5546.9503999999997</v>
      </c>
      <c r="W353" s="399">
        <v>5546.9503999999997</v>
      </c>
      <c r="X353" s="399">
        <v>4185.6216799999993</v>
      </c>
      <c r="Y353" s="399">
        <v>0</v>
      </c>
      <c r="Z353" s="399">
        <v>122.87202687057174</v>
      </c>
      <c r="AA353" s="399">
        <v>0</v>
      </c>
      <c r="AB353" s="399">
        <v>0</v>
      </c>
      <c r="AC353" s="399">
        <v>0</v>
      </c>
      <c r="AD353" s="399">
        <v>1523.5947433460642</v>
      </c>
      <c r="AE353" s="399">
        <v>3377.6657118979538</v>
      </c>
      <c r="AF353" s="399">
        <v>487.28159969573625</v>
      </c>
      <c r="AG353" s="399">
        <v>10.188924893666384</v>
      </c>
      <c r="AH353" s="399">
        <v>0</v>
      </c>
      <c r="AI353" s="399">
        <v>0</v>
      </c>
      <c r="AJ353" s="399">
        <v>0</v>
      </c>
      <c r="AK353" s="399">
        <v>0</v>
      </c>
      <c r="AL353" s="399">
        <v>21.82399997828642</v>
      </c>
      <c r="AM353" s="399"/>
      <c r="AN353" s="399">
        <v>1.5949855578295717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1.920927695304335</v>
      </c>
      <c r="BH353" s="399">
        <v>0</v>
      </c>
      <c r="BI353" s="399">
        <v>0</v>
      </c>
      <c r="BJ353" s="399">
        <v>0</v>
      </c>
      <c r="BK353" s="399">
        <v>0</v>
      </c>
      <c r="BL353" s="399">
        <v>0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489.20252739104058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4182.0009</v>
      </c>
      <c r="CJ353" s="399">
        <v>-1364.9795000000004</v>
      </c>
      <c r="CK353" s="399"/>
      <c r="CL353" s="399"/>
      <c r="CM353" s="399"/>
      <c r="CN353" s="399"/>
      <c r="CO353" s="399">
        <v>-1424.1688800000004</v>
      </c>
      <c r="CP353" s="399">
        <v>62.840160000000012</v>
      </c>
      <c r="CQ353" s="399">
        <v>30</v>
      </c>
      <c r="CR353" s="399">
        <v>120.70828542478694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63.415337685499253</v>
      </c>
      <c r="DA353" s="399">
        <v>0</v>
      </c>
      <c r="DB353" s="399">
        <v>0</v>
      </c>
      <c r="DC353" s="399">
        <v>62.838969503010901</v>
      </c>
      <c r="DD353" s="399">
        <v>0</v>
      </c>
      <c r="DE353" s="399">
        <v>0</v>
      </c>
      <c r="DF353" s="399">
        <v>0</v>
      </c>
      <c r="DG353" s="399">
        <v>0.2477194233028579</v>
      </c>
      <c r="DH353" s="399">
        <v>0</v>
      </c>
      <c r="DI353" s="399">
        <v>-4.9958534188038755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-0.69390583289859009</v>
      </c>
      <c r="DP353" s="399">
        <v>-0.10398193532337063</v>
      </c>
      <c r="DQ353" s="399">
        <v>0</v>
      </c>
      <c r="DR353" s="399">
        <v>0</v>
      </c>
      <c r="DS353" s="399"/>
      <c r="DT353" s="399"/>
      <c r="DU353" s="399"/>
      <c r="DV353" s="399">
        <v>3377.6657118979538</v>
      </c>
      <c r="DW353" s="399">
        <v>0</v>
      </c>
      <c r="DX353" s="399">
        <v>0</v>
      </c>
      <c r="DY353" s="399">
        <v>-1424.1688800000002</v>
      </c>
      <c r="DZ353" s="399">
        <v>62.840160000000026</v>
      </c>
      <c r="EA353" s="399">
        <v>0</v>
      </c>
      <c r="EB353" s="399">
        <v>0</v>
      </c>
      <c r="EC353" s="399">
        <v>-1482.0261746454557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216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353</v>
      </c>
      <c r="B354" s="399" t="s">
        <v>954</v>
      </c>
      <c r="C354" s="399" t="s">
        <v>2360</v>
      </c>
      <c r="D354" s="399" t="s">
        <v>533</v>
      </c>
      <c r="E354" s="399" t="s">
        <v>916</v>
      </c>
      <c r="F354" s="399" t="s">
        <v>1237</v>
      </c>
      <c r="G354" s="399" t="s">
        <v>1237</v>
      </c>
      <c r="H354" s="399" t="s">
        <v>1237</v>
      </c>
      <c r="I354" s="399" t="s">
        <v>2327</v>
      </c>
      <c r="J354" s="399" t="s">
        <v>2353</v>
      </c>
      <c r="K354" s="789">
        <v>44713</v>
      </c>
      <c r="L354" s="399">
        <v>0</v>
      </c>
      <c r="M354" s="399">
        <v>0</v>
      </c>
      <c r="N354" s="399">
        <v>24.952999999999999</v>
      </c>
      <c r="O354" s="399">
        <v>24.952999999999999</v>
      </c>
      <c r="P354" s="399">
        <v>24.952999999999999</v>
      </c>
      <c r="Q354" s="399">
        <v>24.952999999999999</v>
      </c>
      <c r="R354" s="399"/>
      <c r="S354" s="399">
        <v>64.11</v>
      </c>
      <c r="T354" s="399">
        <v>215.17</v>
      </c>
      <c r="U354" s="399"/>
      <c r="V354" s="399">
        <v>6968.8738399999993</v>
      </c>
      <c r="W354" s="399">
        <v>6968.8738399999993</v>
      </c>
      <c r="X354" s="399">
        <v>7587.2091799999998</v>
      </c>
      <c r="Y354" s="399">
        <v>0</v>
      </c>
      <c r="Z354" s="399">
        <v>1326.1356775524987</v>
      </c>
      <c r="AA354" s="399">
        <v>0</v>
      </c>
      <c r="AB354" s="399">
        <v>0</v>
      </c>
      <c r="AC354" s="399">
        <v>0</v>
      </c>
      <c r="AD354" s="399">
        <v>0</v>
      </c>
      <c r="AE354" s="399">
        <v>0</v>
      </c>
      <c r="AF354" s="399">
        <v>5259.1426285500465</v>
      </c>
      <c r="AG354" s="399">
        <v>109.96723307597634</v>
      </c>
      <c r="AH354" s="399">
        <v>0</v>
      </c>
      <c r="AI354" s="399">
        <v>0</v>
      </c>
      <c r="AJ354" s="399">
        <v>0</v>
      </c>
      <c r="AK354" s="399">
        <v>0</v>
      </c>
      <c r="AL354" s="399">
        <v>235.54250495596065</v>
      </c>
      <c r="AM354" s="399"/>
      <c r="AN354" s="399">
        <v>17.214392138633784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20.732226981370708</v>
      </c>
      <c r="BH354" s="399">
        <v>0</v>
      </c>
      <c r="BI354" s="399">
        <v>0</v>
      </c>
      <c r="BJ354" s="399">
        <v>0</v>
      </c>
      <c r="BK354" s="399">
        <v>0</v>
      </c>
      <c r="BL354" s="399">
        <v>0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5279.8748555314169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7586.2969999999996</v>
      </c>
      <c r="CJ354" s="399">
        <v>617.39315999999963</v>
      </c>
      <c r="CK354" s="399"/>
      <c r="CL354" s="399"/>
      <c r="CM354" s="399"/>
      <c r="CN354" s="399"/>
      <c r="CO354" s="399">
        <v>-59.887199999999964</v>
      </c>
      <c r="CP354" s="399">
        <v>678.22254000000021</v>
      </c>
      <c r="CQ354" s="399">
        <v>30</v>
      </c>
      <c r="CR354" s="399">
        <v>618.3524761844501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0</v>
      </c>
      <c r="DA354" s="399">
        <v>0</v>
      </c>
      <c r="DB354" s="399">
        <v>0</v>
      </c>
      <c r="DC354" s="399">
        <v>678.20969118020366</v>
      </c>
      <c r="DD354" s="399">
        <v>0</v>
      </c>
      <c r="DE354" s="399">
        <v>0</v>
      </c>
      <c r="DF354" s="399">
        <v>0</v>
      </c>
      <c r="DG354" s="399">
        <v>2.6735911633547609</v>
      </c>
      <c r="DH354" s="399">
        <v>0</v>
      </c>
      <c r="DI354" s="399">
        <v>-53.919347041268566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-7.4892007994457117</v>
      </c>
      <c r="DP354" s="399">
        <v>-1.1222583183927632</v>
      </c>
      <c r="DQ354" s="399">
        <v>0</v>
      </c>
      <c r="DR354" s="399">
        <v>0</v>
      </c>
      <c r="DS354" s="399"/>
      <c r="DT354" s="399"/>
      <c r="DU354" s="399"/>
      <c r="DV354" s="399">
        <v>0</v>
      </c>
      <c r="DW354" s="399">
        <v>0</v>
      </c>
      <c r="DX354" s="399">
        <v>0</v>
      </c>
      <c r="DY354" s="399">
        <v>-59.887200000000121</v>
      </c>
      <c r="DZ354" s="399">
        <v>678.22254000000066</v>
      </c>
      <c r="EA354" s="399">
        <v>0</v>
      </c>
      <c r="EB354" s="399">
        <v>0</v>
      </c>
      <c r="EC354" s="399">
        <v>0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216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354</v>
      </c>
      <c r="B355" s="399" t="s">
        <v>954</v>
      </c>
      <c r="C355" s="399" t="s">
        <v>2360</v>
      </c>
      <c r="D355" s="399" t="s">
        <v>533</v>
      </c>
      <c r="E355" s="399" t="s">
        <v>916</v>
      </c>
      <c r="F355" s="399" t="s">
        <v>1237</v>
      </c>
      <c r="G355" s="399" t="s">
        <v>1237</v>
      </c>
      <c r="H355" s="399" t="s">
        <v>1237</v>
      </c>
      <c r="I355" s="399" t="s">
        <v>1237</v>
      </c>
      <c r="J355" s="399" t="s">
        <v>2353</v>
      </c>
      <c r="K355" s="789">
        <v>44713</v>
      </c>
      <c r="L355" s="399">
        <v>110</v>
      </c>
      <c r="M355" s="399">
        <v>110</v>
      </c>
      <c r="N355" s="399">
        <v>0</v>
      </c>
      <c r="O355" s="399">
        <v>0</v>
      </c>
      <c r="P355" s="399">
        <v>0</v>
      </c>
      <c r="Q355" s="399">
        <v>0</v>
      </c>
      <c r="R355" s="399">
        <v>28.04</v>
      </c>
      <c r="S355" s="399"/>
      <c r="T355" s="399"/>
      <c r="U355" s="399">
        <v>3084.4</v>
      </c>
      <c r="V355" s="399"/>
      <c r="W355" s="399">
        <v>3084.4</v>
      </c>
      <c r="X355" s="399">
        <v>2316.6</v>
      </c>
      <c r="Y355" s="399">
        <v>0</v>
      </c>
      <c r="Z355" s="399">
        <v>0</v>
      </c>
      <c r="AA355" s="399">
        <v>0</v>
      </c>
      <c r="AB355" s="399">
        <v>0</v>
      </c>
      <c r="AC355" s="399">
        <v>0</v>
      </c>
      <c r="AD355" s="399">
        <v>1217.7745133954729</v>
      </c>
      <c r="AE355" s="399">
        <v>1867.1729890315041</v>
      </c>
      <c r="AF355" s="399"/>
      <c r="AG355" s="399"/>
      <c r="AH355" s="399"/>
      <c r="AI355" s="399">
        <v>0</v>
      </c>
      <c r="AJ355" s="399">
        <v>0</v>
      </c>
      <c r="AK355" s="399">
        <v>0</v>
      </c>
      <c r="AL355" s="399">
        <v>0</v>
      </c>
      <c r="AM355" s="399"/>
      <c r="AN355" s="399">
        <v>0</v>
      </c>
      <c r="AO355" s="399">
        <v>0</v>
      </c>
      <c r="AP355" s="399">
        <v>0</v>
      </c>
      <c r="AQ355" s="399">
        <v>0</v>
      </c>
      <c r="AR355" s="399">
        <v>0</v>
      </c>
      <c r="AS355" s="399"/>
      <c r="AT355" s="399"/>
      <c r="AU355" s="399">
        <v>0</v>
      </c>
      <c r="AV355" s="399">
        <v>0</v>
      </c>
      <c r="AW355" s="399">
        <v>0</v>
      </c>
      <c r="AX355" s="399"/>
      <c r="AY355" s="399"/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/>
      <c r="BG355" s="399">
        <v>0</v>
      </c>
      <c r="BH355" s="399">
        <v>0</v>
      </c>
      <c r="BI355" s="399">
        <v>0</v>
      </c>
      <c r="BJ355" s="399">
        <v>0</v>
      </c>
      <c r="BK355" s="399">
        <v>3913.75</v>
      </c>
      <c r="BL355" s="399">
        <v>1</v>
      </c>
      <c r="BM355" s="399"/>
      <c r="BN355" s="399"/>
      <c r="BO355" s="399"/>
      <c r="BP355" s="399"/>
      <c r="BQ355" s="399"/>
      <c r="BR355" s="399"/>
      <c r="BS355" s="399"/>
      <c r="BT355" s="399"/>
      <c r="BU355" s="399"/>
      <c r="BV355" s="399">
        <v>0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2316.6</v>
      </c>
      <c r="CJ355" s="399">
        <v>-767.83000000000084</v>
      </c>
      <c r="CK355" s="399"/>
      <c r="CL355" s="399"/>
      <c r="CM355" s="399"/>
      <c r="CN355" s="399"/>
      <c r="CO355" s="399">
        <v>-767.80000000000007</v>
      </c>
      <c r="CP355" s="399">
        <v>0</v>
      </c>
      <c r="CQ355" s="399">
        <v>30</v>
      </c>
      <c r="CR355" s="399">
        <v>50.686432418478944</v>
      </c>
      <c r="CS355" s="399">
        <v>0</v>
      </c>
      <c r="CT355" s="399">
        <v>0</v>
      </c>
      <c r="CU355" s="399">
        <v>0</v>
      </c>
      <c r="CV355" s="399">
        <v>0</v>
      </c>
      <c r="CW355" s="399"/>
      <c r="CX355" s="399"/>
      <c r="CY355" s="399"/>
      <c r="CZ355" s="399">
        <v>50.686432418478944</v>
      </c>
      <c r="DA355" s="399">
        <v>0</v>
      </c>
      <c r="DB355" s="399">
        <v>0</v>
      </c>
      <c r="DC355" s="399"/>
      <c r="DD355" s="399"/>
      <c r="DE355" s="399">
        <v>0</v>
      </c>
      <c r="DF355" s="399">
        <v>0</v>
      </c>
      <c r="DG355" s="399">
        <v>0</v>
      </c>
      <c r="DH355" s="399">
        <v>0</v>
      </c>
      <c r="DI355" s="399">
        <v>0</v>
      </c>
      <c r="DJ355" s="399"/>
      <c r="DK355" s="399">
        <v>0</v>
      </c>
      <c r="DL355" s="399">
        <v>0</v>
      </c>
      <c r="DM355" s="399"/>
      <c r="DN355" s="399">
        <v>0</v>
      </c>
      <c r="DO355" s="399">
        <v>0</v>
      </c>
      <c r="DP355" s="399">
        <v>0</v>
      </c>
      <c r="DQ355" s="399">
        <v>0</v>
      </c>
      <c r="DR355" s="399">
        <v>0</v>
      </c>
      <c r="DS355" s="399"/>
      <c r="DT355" s="399"/>
      <c r="DU355" s="399">
        <v>1867.1729890315041</v>
      </c>
      <c r="DV355" s="399"/>
      <c r="DW355" s="399">
        <v>0</v>
      </c>
      <c r="DX355" s="399">
        <v>0</v>
      </c>
      <c r="DY355" s="399">
        <v>-767.80000000000018</v>
      </c>
      <c r="DZ355" s="399"/>
      <c r="EA355" s="399">
        <v>0</v>
      </c>
      <c r="EB355" s="399"/>
      <c r="EC355" s="399">
        <v>-819.26379883838717</v>
      </c>
      <c r="ED355" s="399"/>
      <c r="EE355" s="399">
        <v>0</v>
      </c>
      <c r="EF355" s="399">
        <v>0</v>
      </c>
      <c r="EG355" s="399"/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/>
      <c r="EN355" s="399"/>
      <c r="EO355" s="399">
        <v>0</v>
      </c>
      <c r="EP355" s="399">
        <v>0</v>
      </c>
      <c r="EQ355" s="399"/>
      <c r="ER355" s="399">
        <v>0</v>
      </c>
      <c r="ES355" s="399"/>
      <c r="ET355" s="399">
        <v>0</v>
      </c>
      <c r="EU355" s="399"/>
      <c r="EV355" s="399">
        <v>216</v>
      </c>
      <c r="EW355" s="399"/>
      <c r="EX355" s="399"/>
      <c r="EY355" s="399"/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355</v>
      </c>
      <c r="B356" s="399" t="s">
        <v>954</v>
      </c>
      <c r="C356" s="399" t="s">
        <v>2361</v>
      </c>
      <c r="D356" s="399" t="s">
        <v>1824</v>
      </c>
      <c r="E356" s="399" t="s">
        <v>916</v>
      </c>
      <c r="F356" s="399" t="s">
        <v>1237</v>
      </c>
      <c r="G356" s="399" t="s">
        <v>1237</v>
      </c>
      <c r="H356" s="399" t="s">
        <v>1237</v>
      </c>
      <c r="I356" s="399" t="s">
        <v>891</v>
      </c>
      <c r="J356" s="399" t="s">
        <v>2353</v>
      </c>
      <c r="K356" s="789">
        <v>44713</v>
      </c>
      <c r="L356" s="399">
        <v>0</v>
      </c>
      <c r="M356" s="399">
        <v>0</v>
      </c>
      <c r="N356" s="399">
        <v>0.08</v>
      </c>
      <c r="O356" s="399">
        <v>0.08</v>
      </c>
      <c r="P356" s="399">
        <v>0.08</v>
      </c>
      <c r="Q356" s="399">
        <v>0.08</v>
      </c>
      <c r="R356" s="399"/>
      <c r="S356" s="399">
        <v>1254.27</v>
      </c>
      <c r="T356" s="399">
        <v>215.17</v>
      </c>
      <c r="U356" s="399"/>
      <c r="V356" s="399">
        <v>117.5552</v>
      </c>
      <c r="W356" s="399">
        <v>117.5552</v>
      </c>
      <c r="X356" s="399">
        <v>89.933600000000013</v>
      </c>
      <c r="Y356" s="399">
        <v>0</v>
      </c>
      <c r="Z356" s="399">
        <v>4.8869278475349764</v>
      </c>
      <c r="AA356" s="399">
        <v>0</v>
      </c>
      <c r="AB356" s="399">
        <v>0</v>
      </c>
      <c r="AC356" s="399">
        <v>0</v>
      </c>
      <c r="AD356" s="399">
        <v>24.657263868983843</v>
      </c>
      <c r="AE356" s="399">
        <v>69.775675229258965</v>
      </c>
      <c r="AF356" s="399">
        <v>16.86095500677288</v>
      </c>
      <c r="AG356" s="399">
        <v>0.35255795479814483</v>
      </c>
      <c r="AH356" s="399">
        <v>0</v>
      </c>
      <c r="AI356" s="399">
        <v>0</v>
      </c>
      <c r="AJ356" s="399">
        <v>0</v>
      </c>
      <c r="AK356" s="399">
        <v>0</v>
      </c>
      <c r="AL356" s="399">
        <v>0.75515570859122561</v>
      </c>
      <c r="AM356" s="399"/>
      <c r="AN356" s="399">
        <v>9.4191798307232802E-2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0.17215476345786559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>
        <v>17.033109770230745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89.933600000000013</v>
      </c>
      <c r="CJ356" s="399">
        <v>-27.651600000000002</v>
      </c>
      <c r="CK356" s="399"/>
      <c r="CL356" s="399"/>
      <c r="CM356" s="399"/>
      <c r="CN356" s="399"/>
      <c r="CO356" s="399">
        <v>-29.795999999999996</v>
      </c>
      <c r="CP356" s="399">
        <v>2.1744000000000008</v>
      </c>
      <c r="CQ356" s="399">
        <v>30</v>
      </c>
      <c r="CR356" s="399">
        <v>2.9939998855413634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1.0262891241131982</v>
      </c>
      <c r="DA356" s="399">
        <v>0</v>
      </c>
      <c r="DB356" s="399">
        <v>0</v>
      </c>
      <c r="DC356" s="399">
        <v>2.1743588063325596</v>
      </c>
      <c r="DD356" s="399">
        <v>0</v>
      </c>
      <c r="DE356" s="399">
        <v>0</v>
      </c>
      <c r="DF356" s="399">
        <v>0</v>
      </c>
      <c r="DG356" s="399">
        <v>2.2200772484497616E-2</v>
      </c>
      <c r="DH356" s="399">
        <v>0</v>
      </c>
      <c r="DI356" s="399">
        <v>-0.19869758655705638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-2.4010582453238394E-2</v>
      </c>
      <c r="DP356" s="399">
        <v>-6.1406483785984151E-3</v>
      </c>
      <c r="DQ356" s="399">
        <v>0</v>
      </c>
      <c r="DR356" s="399">
        <v>0</v>
      </c>
      <c r="DS356" s="399"/>
      <c r="DT356" s="399"/>
      <c r="DU356" s="399"/>
      <c r="DV356" s="399">
        <v>69.775675229258965</v>
      </c>
      <c r="DW356" s="399">
        <v>0</v>
      </c>
      <c r="DX356" s="399">
        <v>0</v>
      </c>
      <c r="DY356" s="399">
        <v>-29.795999999999992</v>
      </c>
      <c r="DZ356" s="399">
        <v>2.1744000000000021</v>
      </c>
      <c r="EA356" s="399">
        <v>0</v>
      </c>
      <c r="EB356" s="399">
        <v>0</v>
      </c>
      <c r="EC356" s="399">
        <v>-30.615633950707128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216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356</v>
      </c>
      <c r="B357" s="399" t="s">
        <v>954</v>
      </c>
      <c r="C357" s="399" t="s">
        <v>2361</v>
      </c>
      <c r="D357" s="399" t="s">
        <v>1824</v>
      </c>
      <c r="E357" s="399" t="s">
        <v>916</v>
      </c>
      <c r="F357" s="399" t="s">
        <v>1237</v>
      </c>
      <c r="G357" s="399" t="s">
        <v>1237</v>
      </c>
      <c r="H357" s="399" t="s">
        <v>1237</v>
      </c>
      <c r="I357" s="399" t="s">
        <v>2327</v>
      </c>
      <c r="J357" s="399" t="s">
        <v>2353</v>
      </c>
      <c r="K357" s="789">
        <v>44713</v>
      </c>
      <c r="L357" s="399">
        <v>0</v>
      </c>
      <c r="M357" s="399">
        <v>0</v>
      </c>
      <c r="N357" s="399">
        <v>0.79100000000000004</v>
      </c>
      <c r="O357" s="399">
        <v>0.79100000000000004</v>
      </c>
      <c r="P357" s="399">
        <v>0.79100000000000004</v>
      </c>
      <c r="Q357" s="399">
        <v>0.79100000000000004</v>
      </c>
      <c r="R357" s="399"/>
      <c r="S357" s="399">
        <v>309.91000000000003</v>
      </c>
      <c r="T357" s="399">
        <v>215.17</v>
      </c>
      <c r="U357" s="399"/>
      <c r="V357" s="399">
        <v>415.33828000000005</v>
      </c>
      <c r="W357" s="399">
        <v>415.33828000000005</v>
      </c>
      <c r="X357" s="399">
        <v>376.27869999999996</v>
      </c>
      <c r="Y357" s="399">
        <v>0</v>
      </c>
      <c r="Z357" s="399">
        <v>48.319499092502078</v>
      </c>
      <c r="AA357" s="399">
        <v>0</v>
      </c>
      <c r="AB357" s="399">
        <v>0</v>
      </c>
      <c r="AC357" s="399">
        <v>0</v>
      </c>
      <c r="AD357" s="399">
        <v>48.738786290284679</v>
      </c>
      <c r="AE357" s="399">
        <v>137.98152857846512</v>
      </c>
      <c r="AF357" s="399">
        <v>166.71269262946686</v>
      </c>
      <c r="AG357" s="399">
        <v>3.4859167780666569</v>
      </c>
      <c r="AH357" s="399">
        <v>0</v>
      </c>
      <c r="AI357" s="399">
        <v>0</v>
      </c>
      <c r="AJ357" s="399">
        <v>0</v>
      </c>
      <c r="AK357" s="399">
        <v>0</v>
      </c>
      <c r="AL357" s="399">
        <v>7.4666020686957433</v>
      </c>
      <c r="AM357" s="399"/>
      <c r="AN357" s="399">
        <v>0.93132140576276434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1.7021802236896462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168.41487285315651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375.803</v>
      </c>
      <c r="CJ357" s="399">
        <v>-39.56528000000003</v>
      </c>
      <c r="CK357" s="399"/>
      <c r="CL357" s="399"/>
      <c r="CM357" s="399"/>
      <c r="CN357" s="399"/>
      <c r="CO357" s="399">
        <v>-60.558960000000027</v>
      </c>
      <c r="CP357" s="399">
        <v>21.499380000000006</v>
      </c>
      <c r="CQ357" s="399">
        <v>30</v>
      </c>
      <c r="CR357" s="399">
        <v>21.484354786533061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2.0286146329121308</v>
      </c>
      <c r="DA357" s="399">
        <v>0</v>
      </c>
      <c r="DB357" s="399">
        <v>0</v>
      </c>
      <c r="DC357" s="399">
        <v>21.498972697613198</v>
      </c>
      <c r="DD357" s="399">
        <v>0</v>
      </c>
      <c r="DE357" s="399">
        <v>0</v>
      </c>
      <c r="DF357" s="399">
        <v>0</v>
      </c>
      <c r="DG357" s="399">
        <v>0.21951013794047025</v>
      </c>
      <c r="DH357" s="399">
        <v>0</v>
      </c>
      <c r="DI357" s="399">
        <v>-1.9646223870828905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-0.23740463400639378</v>
      </c>
      <c r="DP357" s="399">
        <v>-6.071566084339175E-2</v>
      </c>
      <c r="DQ357" s="399">
        <v>0</v>
      </c>
      <c r="DR357" s="399">
        <v>0</v>
      </c>
      <c r="DS357" s="399"/>
      <c r="DT357" s="399"/>
      <c r="DU357" s="399"/>
      <c r="DV357" s="399">
        <v>137.98152857846512</v>
      </c>
      <c r="DW357" s="399">
        <v>0</v>
      </c>
      <c r="DX357" s="399">
        <v>0</v>
      </c>
      <c r="DY357" s="399">
        <v>-60.558960000000042</v>
      </c>
      <c r="DZ357" s="399">
        <v>21.499380000000002</v>
      </c>
      <c r="EA357" s="399">
        <v>0</v>
      </c>
      <c r="EB357" s="399">
        <v>0</v>
      </c>
      <c r="EC357" s="399">
        <v>-60.542473534471981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216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357</v>
      </c>
      <c r="B358" s="399" t="s">
        <v>954</v>
      </c>
      <c r="C358" s="399" t="s">
        <v>2361</v>
      </c>
      <c r="D358" s="399" t="s">
        <v>1824</v>
      </c>
      <c r="E358" s="399" t="s">
        <v>916</v>
      </c>
      <c r="F358" s="399" t="s">
        <v>1237</v>
      </c>
      <c r="G358" s="399" t="s">
        <v>1237</v>
      </c>
      <c r="H358" s="399" t="s">
        <v>1237</v>
      </c>
      <c r="I358" s="399" t="s">
        <v>1237</v>
      </c>
      <c r="J358" s="399" t="s">
        <v>2353</v>
      </c>
      <c r="K358" s="789">
        <v>44713</v>
      </c>
      <c r="L358" s="399">
        <v>0</v>
      </c>
      <c r="M358" s="399">
        <v>0</v>
      </c>
      <c r="N358" s="399">
        <v>0</v>
      </c>
      <c r="O358" s="399">
        <v>0</v>
      </c>
      <c r="P358" s="399">
        <v>0</v>
      </c>
      <c r="Q358" s="399">
        <v>0</v>
      </c>
      <c r="R358" s="399"/>
      <c r="S358" s="399"/>
      <c r="T358" s="399"/>
      <c r="U358" s="399"/>
      <c r="V358" s="399"/>
      <c r="W358" s="399"/>
      <c r="X358" s="399"/>
      <c r="Y358" s="399"/>
      <c r="Z358" s="399"/>
      <c r="AA358" s="399">
        <v>0</v>
      </c>
      <c r="AB358" s="399"/>
      <c r="AC358" s="399"/>
      <c r="AD358" s="399"/>
      <c r="AE358" s="399"/>
      <c r="AF358" s="399"/>
      <c r="AG358" s="399"/>
      <c r="AH358" s="399"/>
      <c r="AI358" s="399"/>
      <c r="AJ358" s="399"/>
      <c r="AK358" s="399"/>
      <c r="AL358" s="399"/>
      <c r="AM358" s="399"/>
      <c r="AN358" s="399"/>
      <c r="AO358" s="399"/>
      <c r="AP358" s="399"/>
      <c r="AQ358" s="399"/>
      <c r="AR358" s="399"/>
      <c r="AS358" s="399"/>
      <c r="AT358" s="399"/>
      <c r="AU358" s="399"/>
      <c r="AV358" s="399"/>
      <c r="AW358" s="399"/>
      <c r="AX358" s="399"/>
      <c r="AY358" s="399"/>
      <c r="AZ358" s="399">
        <v>0</v>
      </c>
      <c r="BA358" s="399"/>
      <c r="BB358" s="399"/>
      <c r="BC358" s="399"/>
      <c r="BD358" s="399"/>
      <c r="BE358" s="399"/>
      <c r="BF358" s="399"/>
      <c r="BG358" s="399"/>
      <c r="BH358" s="399"/>
      <c r="BI358" s="399">
        <v>0</v>
      </c>
      <c r="BJ358" s="399">
        <v>0</v>
      </c>
      <c r="BK358" s="399">
        <v>169.26</v>
      </c>
      <c r="BL358" s="399">
        <v>1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/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/>
      <c r="CJ358" s="399">
        <v>-0.03</v>
      </c>
      <c r="CK358" s="399"/>
      <c r="CL358" s="399"/>
      <c r="CM358" s="399"/>
      <c r="CN358" s="399"/>
      <c r="CO358" s="399">
        <v>0</v>
      </c>
      <c r="CP358" s="399">
        <v>0</v>
      </c>
      <c r="CQ358" s="399">
        <v>30</v>
      </c>
      <c r="CR358" s="399"/>
      <c r="CS358" s="399"/>
      <c r="CT358" s="399"/>
      <c r="CU358" s="399"/>
      <c r="CV358" s="399"/>
      <c r="CW358" s="399"/>
      <c r="CX358" s="399"/>
      <c r="CY358" s="399"/>
      <c r="CZ358" s="399"/>
      <c r="DA358" s="399"/>
      <c r="DB358" s="399"/>
      <c r="DC358" s="399"/>
      <c r="DD358" s="399"/>
      <c r="DE358" s="399"/>
      <c r="DF358" s="399"/>
      <c r="DG358" s="399"/>
      <c r="DH358" s="399"/>
      <c r="DI358" s="399"/>
      <c r="DJ358" s="399"/>
      <c r="DK358" s="399">
        <v>0</v>
      </c>
      <c r="DL358" s="399"/>
      <c r="DM358" s="399"/>
      <c r="DN358" s="399"/>
      <c r="DO358" s="399"/>
      <c r="DP358" s="399"/>
      <c r="DQ358" s="399"/>
      <c r="DR358" s="399"/>
      <c r="DS358" s="399"/>
      <c r="DT358" s="399"/>
      <c r="DU358" s="399"/>
      <c r="DV358" s="399"/>
      <c r="DW358" s="399"/>
      <c r="DX358" s="399"/>
      <c r="DY358" s="399"/>
      <c r="DZ358" s="399"/>
      <c r="EA358" s="399"/>
      <c r="EB358" s="399"/>
      <c r="EC358" s="399"/>
      <c r="ED358" s="399"/>
      <c r="EE358" s="399"/>
      <c r="EF358" s="399"/>
      <c r="EG358" s="399"/>
      <c r="EH358" s="399"/>
      <c r="EI358" s="399"/>
      <c r="EJ358" s="399"/>
      <c r="EK358" s="399"/>
      <c r="EL358" s="399"/>
      <c r="EM358" s="399"/>
      <c r="EN358" s="399"/>
      <c r="EO358" s="399"/>
      <c r="EP358" s="399"/>
      <c r="EQ358" s="399"/>
      <c r="ER358" s="399"/>
      <c r="ES358" s="399"/>
      <c r="ET358" s="399"/>
      <c r="EU358" s="399"/>
      <c r="EV358" s="399">
        <v>216</v>
      </c>
      <c r="EW358" s="399"/>
      <c r="EX358" s="399"/>
      <c r="EY358" s="399"/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358</v>
      </c>
      <c r="B359" s="399" t="s">
        <v>954</v>
      </c>
      <c r="C359" s="399" t="s">
        <v>2361</v>
      </c>
      <c r="D359" s="399" t="s">
        <v>1824</v>
      </c>
      <c r="E359" s="399" t="s">
        <v>916</v>
      </c>
      <c r="F359" s="399" t="s">
        <v>1237</v>
      </c>
      <c r="G359" s="399" t="s">
        <v>1237</v>
      </c>
      <c r="H359" s="399" t="s">
        <v>1237</v>
      </c>
      <c r="I359" s="399" t="s">
        <v>2362</v>
      </c>
      <c r="J359" s="399" t="s">
        <v>2353</v>
      </c>
      <c r="K359" s="789">
        <v>44713</v>
      </c>
      <c r="L359" s="399">
        <v>0</v>
      </c>
      <c r="M359" s="399">
        <v>0</v>
      </c>
      <c r="N359" s="399">
        <v>5.1999999999999998E-2</v>
      </c>
      <c r="O359" s="399">
        <v>5.1999999999999998E-2</v>
      </c>
      <c r="P359" s="399">
        <v>5.1999999999999998E-2</v>
      </c>
      <c r="Q359" s="399">
        <v>5.1999999999999998E-2</v>
      </c>
      <c r="R359" s="399"/>
      <c r="S359" s="399">
        <v>782.07</v>
      </c>
      <c r="T359" s="399">
        <v>215.17</v>
      </c>
      <c r="U359" s="399"/>
      <c r="V359" s="399">
        <v>51.856479999999998</v>
      </c>
      <c r="W359" s="399">
        <v>51.856479999999998</v>
      </c>
      <c r="X359" s="399">
        <v>41.595320000000001</v>
      </c>
      <c r="Y359" s="399">
        <v>0</v>
      </c>
      <c r="Z359" s="399">
        <v>3.1765031008977345</v>
      </c>
      <c r="AA359" s="399">
        <v>0</v>
      </c>
      <c r="AB359" s="399">
        <v>0</v>
      </c>
      <c r="AC359" s="399">
        <v>0</v>
      </c>
      <c r="AD359" s="399">
        <v>9.6144963196870119</v>
      </c>
      <c r="AE359" s="399">
        <v>27.212509039628795</v>
      </c>
      <c r="AF359" s="399">
        <v>10.959620754402373</v>
      </c>
      <c r="AG359" s="399">
        <v>0.22916267061879411</v>
      </c>
      <c r="AH359" s="399">
        <v>0</v>
      </c>
      <c r="AI359" s="399">
        <v>0</v>
      </c>
      <c r="AJ359" s="399">
        <v>0</v>
      </c>
      <c r="AK359" s="399">
        <v>0</v>
      </c>
      <c r="AL359" s="399">
        <v>0.49085121058429665</v>
      </c>
      <c r="AM359" s="399"/>
      <c r="AN359" s="399">
        <v>6.1224668899701316E-2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0.11190059624761263</v>
      </c>
      <c r="BH359" s="399">
        <v>0</v>
      </c>
      <c r="BI359" s="399">
        <v>0</v>
      </c>
      <c r="BJ359" s="399">
        <v>0</v>
      </c>
      <c r="BK359" s="399">
        <v>0</v>
      </c>
      <c r="BL359" s="399">
        <v>0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>
        <v>11.071521350649986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39.9955</v>
      </c>
      <c r="CJ359" s="399">
        <v>-11.890979999999992</v>
      </c>
      <c r="CK359" s="399"/>
      <c r="CL359" s="399"/>
      <c r="CM359" s="399"/>
      <c r="CN359" s="399"/>
      <c r="CO359" s="399">
        <v>-11.674520000000005</v>
      </c>
      <c r="CP359" s="399">
        <v>1.4133600000000004</v>
      </c>
      <c r="CQ359" s="399">
        <v>30</v>
      </c>
      <c r="CR359" s="399">
        <v>1.6791883104818162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0.40017631555350874</v>
      </c>
      <c r="DA359" s="399">
        <v>0</v>
      </c>
      <c r="DB359" s="399">
        <v>0</v>
      </c>
      <c r="DC359" s="399">
        <v>1.4133332241161636</v>
      </c>
      <c r="DD359" s="399">
        <v>0</v>
      </c>
      <c r="DE359" s="399">
        <v>0</v>
      </c>
      <c r="DF359" s="399">
        <v>0</v>
      </c>
      <c r="DG359" s="399">
        <v>1.4430502114923457E-2</v>
      </c>
      <c r="DH359" s="399">
        <v>0</v>
      </c>
      <c r="DI359" s="399">
        <v>-0.12915343126208656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-1.5606878594604967E-2</v>
      </c>
      <c r="DP359" s="399">
        <v>-3.9914214460889663E-3</v>
      </c>
      <c r="DQ359" s="399">
        <v>0</v>
      </c>
      <c r="DR359" s="399">
        <v>0</v>
      </c>
      <c r="DS359" s="399"/>
      <c r="DT359" s="399"/>
      <c r="DU359" s="399"/>
      <c r="DV359" s="399">
        <v>27.212509039628795</v>
      </c>
      <c r="DW359" s="399">
        <v>0</v>
      </c>
      <c r="DX359" s="399">
        <v>0</v>
      </c>
      <c r="DY359" s="399">
        <v>-11.674520000000001</v>
      </c>
      <c r="DZ359" s="399">
        <v>1.4133600000000008</v>
      </c>
      <c r="EA359" s="399">
        <v>0</v>
      </c>
      <c r="EB359" s="399">
        <v>0</v>
      </c>
      <c r="EC359" s="399">
        <v>-11.940095354150445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216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359</v>
      </c>
      <c r="B360" s="399" t="s">
        <v>954</v>
      </c>
      <c r="C360" s="399" t="s">
        <v>2352</v>
      </c>
      <c r="D360" s="399" t="s">
        <v>2363</v>
      </c>
      <c r="E360" s="399" t="s">
        <v>892</v>
      </c>
      <c r="F360" s="399" t="s">
        <v>1237</v>
      </c>
      <c r="G360" s="399" t="s">
        <v>1237</v>
      </c>
      <c r="H360" s="399" t="s">
        <v>1237</v>
      </c>
      <c r="I360" s="399" t="s">
        <v>1237</v>
      </c>
      <c r="J360" s="399" t="s">
        <v>2353</v>
      </c>
      <c r="K360" s="789">
        <v>44713</v>
      </c>
      <c r="L360" s="399">
        <v>0</v>
      </c>
      <c r="M360" s="399">
        <v>0</v>
      </c>
      <c r="N360" s="399">
        <v>383.12400000000002</v>
      </c>
      <c r="O360" s="399">
        <v>383.12400000000002</v>
      </c>
      <c r="P360" s="399">
        <v>383.12400000000002</v>
      </c>
      <c r="Q360" s="399">
        <v>383.12400000000002</v>
      </c>
      <c r="R360" s="399"/>
      <c r="S360" s="399">
        <v>415.98</v>
      </c>
      <c r="T360" s="399">
        <v>215.17</v>
      </c>
      <c r="U360" s="399"/>
      <c r="V360" s="399">
        <v>241808.7126</v>
      </c>
      <c r="W360" s="399">
        <v>241808.7126</v>
      </c>
      <c r="X360" s="399">
        <v>210158.83896000002</v>
      </c>
      <c r="Y360" s="399">
        <v>0</v>
      </c>
      <c r="Z360" s="399">
        <v>23403.741808237381</v>
      </c>
      <c r="AA360" s="399">
        <v>0</v>
      </c>
      <c r="AB360" s="399">
        <v>0</v>
      </c>
      <c r="AC360" s="399">
        <v>0</v>
      </c>
      <c r="AD360" s="399">
        <v>34218.941277751495</v>
      </c>
      <c r="AE360" s="399">
        <v>96857.766859151452</v>
      </c>
      <c r="AF360" s="399">
        <v>80747.956575185672</v>
      </c>
      <c r="AG360" s="399">
        <v>1688.4176734260554</v>
      </c>
      <c r="AH360" s="399">
        <v>0</v>
      </c>
      <c r="AI360" s="399">
        <v>0</v>
      </c>
      <c r="AJ360" s="399">
        <v>0</v>
      </c>
      <c r="AK360" s="399">
        <v>0</v>
      </c>
      <c r="AL360" s="399">
        <v>3616.4784462288094</v>
      </c>
      <c r="AM360" s="399"/>
      <c r="AN360" s="399">
        <v>451.08923168325327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824.45776993789127</v>
      </c>
      <c r="BH360" s="399">
        <v>0</v>
      </c>
      <c r="BI360" s="399">
        <v>0</v>
      </c>
      <c r="BJ360" s="399">
        <v>0</v>
      </c>
      <c r="BK360" s="399">
        <v>40200.959999999999</v>
      </c>
      <c r="BL360" s="399">
        <v>1543</v>
      </c>
      <c r="BM360" s="399"/>
      <c r="BN360" s="399"/>
      <c r="BO360" s="399"/>
      <c r="BP360" s="399"/>
      <c r="BQ360" s="399"/>
      <c r="BR360" s="399">
        <v>25217.221679999999</v>
      </c>
      <c r="BS360" s="399"/>
      <c r="BT360" s="399"/>
      <c r="BU360" s="399"/>
      <c r="BV360" s="399">
        <v>81572.414345123558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184939.68640000001</v>
      </c>
      <c r="CJ360" s="399">
        <v>-27851.244440000039</v>
      </c>
      <c r="CK360" s="399"/>
      <c r="CL360" s="399"/>
      <c r="CM360" s="399"/>
      <c r="CN360" s="399"/>
      <c r="CO360" s="399">
        <v>-42063.183960000009</v>
      </c>
      <c r="CP360" s="399">
        <v>10413.310320000004</v>
      </c>
      <c r="CQ360" s="399">
        <v>30</v>
      </c>
      <c r="CR360" s="399">
        <v>10847.732223361498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1424.267001343942</v>
      </c>
      <c r="DA360" s="399">
        <v>0</v>
      </c>
      <c r="DB360" s="399">
        <v>0</v>
      </c>
      <c r="DC360" s="399">
        <v>10413.113041466946</v>
      </c>
      <c r="DD360" s="399">
        <v>0</v>
      </c>
      <c r="DE360" s="399">
        <v>0</v>
      </c>
      <c r="DF360" s="399">
        <v>0</v>
      </c>
      <c r="DG360" s="399">
        <v>106.3206094668833</v>
      </c>
      <c r="DH360" s="399">
        <v>0</v>
      </c>
      <c r="DI360" s="399">
        <v>-951.57267690106892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-114.98787989768152</v>
      </c>
      <c r="DP360" s="399">
        <v>-29.407872117526722</v>
      </c>
      <c r="DQ360" s="399">
        <v>0</v>
      </c>
      <c r="DR360" s="399">
        <v>0</v>
      </c>
      <c r="DS360" s="399"/>
      <c r="DT360" s="399"/>
      <c r="DU360" s="399"/>
      <c r="DV360" s="399">
        <v>96857.766859151452</v>
      </c>
      <c r="DW360" s="399">
        <v>0</v>
      </c>
      <c r="DX360" s="399">
        <v>0</v>
      </c>
      <c r="DY360" s="399">
        <v>-42063.183959999995</v>
      </c>
      <c r="DZ360" s="399">
        <v>10413.310320000004</v>
      </c>
      <c r="EA360" s="399">
        <v>0</v>
      </c>
      <c r="EB360" s="399">
        <v>0</v>
      </c>
      <c r="EC360" s="399">
        <v>-42498.505757193321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216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360</v>
      </c>
      <c r="B361" s="399" t="s">
        <v>2354</v>
      </c>
      <c r="C361" s="399" t="s">
        <v>2352</v>
      </c>
      <c r="D361" s="399" t="s">
        <v>2363</v>
      </c>
      <c r="E361" s="399" t="s">
        <v>892</v>
      </c>
      <c r="F361" s="399" t="s">
        <v>1237</v>
      </c>
      <c r="G361" s="399" t="s">
        <v>1237</v>
      </c>
      <c r="H361" s="399" t="s">
        <v>1237</v>
      </c>
      <c r="I361" s="399" t="s">
        <v>1237</v>
      </c>
      <c r="J361" s="399" t="s">
        <v>2353</v>
      </c>
      <c r="K361" s="789">
        <v>44713</v>
      </c>
      <c r="L361" s="399">
        <v>0</v>
      </c>
      <c r="M361" s="399">
        <v>0</v>
      </c>
      <c r="N361" s="399">
        <v>0</v>
      </c>
      <c r="O361" s="399">
        <v>0</v>
      </c>
      <c r="P361" s="399">
        <v>0</v>
      </c>
      <c r="Q361" s="399">
        <v>0</v>
      </c>
      <c r="R361" s="399"/>
      <c r="S361" s="399"/>
      <c r="T361" s="399"/>
      <c r="U361" s="399"/>
      <c r="V361" s="399"/>
      <c r="W361" s="399"/>
      <c r="X361" s="399"/>
      <c r="Y361" s="399"/>
      <c r="Z361" s="399"/>
      <c r="AA361" s="399">
        <v>0</v>
      </c>
      <c r="AB361" s="399"/>
      <c r="AC361" s="399"/>
      <c r="AD361" s="399"/>
      <c r="AE361" s="399"/>
      <c r="AF361" s="399"/>
      <c r="AG361" s="399"/>
      <c r="AH361" s="399"/>
      <c r="AI361" s="399"/>
      <c r="AJ361" s="399"/>
      <c r="AK361" s="399"/>
      <c r="AL361" s="399"/>
      <c r="AM361" s="399"/>
      <c r="AN361" s="399"/>
      <c r="AO361" s="399"/>
      <c r="AP361" s="399"/>
      <c r="AQ361" s="399"/>
      <c r="AR361" s="399"/>
      <c r="AS361" s="399"/>
      <c r="AT361" s="399"/>
      <c r="AU361" s="399"/>
      <c r="AV361" s="399"/>
      <c r="AW361" s="399"/>
      <c r="AX361" s="399"/>
      <c r="AY361" s="399"/>
      <c r="AZ361" s="399">
        <v>0</v>
      </c>
      <c r="BA361" s="399"/>
      <c r="BB361" s="399"/>
      <c r="BC361" s="399"/>
      <c r="BD361" s="399"/>
      <c r="BE361" s="399"/>
      <c r="BF361" s="399"/>
      <c r="BG361" s="399"/>
      <c r="BH361" s="399"/>
      <c r="BI361" s="399">
        <v>0</v>
      </c>
      <c r="BJ361" s="399">
        <v>0</v>
      </c>
      <c r="BK361" s="399">
        <v>-0.43</v>
      </c>
      <c r="BL361" s="399">
        <v>0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/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/>
      <c r="CJ361" s="399">
        <v>-0.03</v>
      </c>
      <c r="CK361" s="399"/>
      <c r="CL361" s="399"/>
      <c r="CM361" s="399"/>
      <c r="CN361" s="399"/>
      <c r="CO361" s="399">
        <v>0</v>
      </c>
      <c r="CP361" s="399">
        <v>0</v>
      </c>
      <c r="CQ361" s="399">
        <v>30</v>
      </c>
      <c r="CR361" s="399"/>
      <c r="CS361" s="399"/>
      <c r="CT361" s="399"/>
      <c r="CU361" s="399"/>
      <c r="CV361" s="399"/>
      <c r="CW361" s="399"/>
      <c r="CX361" s="399"/>
      <c r="CY361" s="399"/>
      <c r="CZ361" s="399"/>
      <c r="DA361" s="399"/>
      <c r="DB361" s="399"/>
      <c r="DC361" s="399"/>
      <c r="DD361" s="399"/>
      <c r="DE361" s="399"/>
      <c r="DF361" s="399"/>
      <c r="DG361" s="399"/>
      <c r="DH361" s="399"/>
      <c r="DI361" s="399"/>
      <c r="DJ361" s="399"/>
      <c r="DK361" s="399">
        <v>0</v>
      </c>
      <c r="DL361" s="399"/>
      <c r="DM361" s="399"/>
      <c r="DN361" s="399"/>
      <c r="DO361" s="399"/>
      <c r="DP361" s="399"/>
      <c r="DQ361" s="399"/>
      <c r="DR361" s="399"/>
      <c r="DS361" s="399"/>
      <c r="DT361" s="399"/>
      <c r="DU361" s="399"/>
      <c r="DV361" s="399"/>
      <c r="DW361" s="399"/>
      <c r="DX361" s="399"/>
      <c r="DY361" s="399"/>
      <c r="DZ361" s="399"/>
      <c r="EA361" s="399"/>
      <c r="EB361" s="399"/>
      <c r="EC361" s="399"/>
      <c r="ED361" s="399"/>
      <c r="EE361" s="399"/>
      <c r="EF361" s="399"/>
      <c r="EG361" s="399"/>
      <c r="EH361" s="399"/>
      <c r="EI361" s="399"/>
      <c r="EJ361" s="399"/>
      <c r="EK361" s="399"/>
      <c r="EL361" s="399"/>
      <c r="EM361" s="399"/>
      <c r="EN361" s="399"/>
      <c r="EO361" s="399"/>
      <c r="EP361" s="399"/>
      <c r="EQ361" s="399"/>
      <c r="ER361" s="399"/>
      <c r="ES361" s="399"/>
      <c r="ET361" s="399"/>
      <c r="EU361" s="399"/>
      <c r="EV361" s="399">
        <v>216</v>
      </c>
      <c r="EW361" s="399"/>
      <c r="EX361" s="399"/>
      <c r="EY361" s="399"/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361</v>
      </c>
      <c r="B362" s="399" t="s">
        <v>2355</v>
      </c>
      <c r="C362" s="399" t="s">
        <v>2352</v>
      </c>
      <c r="D362" s="399" t="s">
        <v>2363</v>
      </c>
      <c r="E362" s="399" t="s">
        <v>892</v>
      </c>
      <c r="F362" s="399" t="s">
        <v>1237</v>
      </c>
      <c r="G362" s="399" t="s">
        <v>1237</v>
      </c>
      <c r="H362" s="399" t="s">
        <v>1237</v>
      </c>
      <c r="I362" s="399" t="s">
        <v>1237</v>
      </c>
      <c r="J362" s="399" t="s">
        <v>2353</v>
      </c>
      <c r="K362" s="789">
        <v>44713</v>
      </c>
      <c r="L362" s="399">
        <v>0</v>
      </c>
      <c r="M362" s="399">
        <v>0</v>
      </c>
      <c r="N362" s="399">
        <v>7.4859999999999998</v>
      </c>
      <c r="O362" s="399">
        <v>7.4859999999999998</v>
      </c>
      <c r="P362" s="399">
        <v>7.4859999999999998</v>
      </c>
      <c r="Q362" s="399">
        <v>7.4859999999999998</v>
      </c>
      <c r="R362" s="399"/>
      <c r="S362" s="399">
        <v>415.98</v>
      </c>
      <c r="T362" s="399">
        <v>215.17</v>
      </c>
      <c r="U362" s="399"/>
      <c r="V362" s="399">
        <v>4724.7888999999996</v>
      </c>
      <c r="W362" s="399">
        <v>4724.7888999999996</v>
      </c>
      <c r="X362" s="399">
        <v>4106.3704399999997</v>
      </c>
      <c r="Y362" s="399">
        <v>0</v>
      </c>
      <c r="Z362" s="399">
        <v>457.29427333308536</v>
      </c>
      <c r="AA362" s="399">
        <v>0</v>
      </c>
      <c r="AB362" s="399">
        <v>0</v>
      </c>
      <c r="AC362" s="399">
        <v>0</v>
      </c>
      <c r="AD362" s="399">
        <v>668.61641245457781</v>
      </c>
      <c r="AE362" s="399">
        <v>1892.5393415907324</v>
      </c>
      <c r="AF362" s="399">
        <v>1577.7638647587723</v>
      </c>
      <c r="AG362" s="399">
        <v>32.990610620236396</v>
      </c>
      <c r="AH362" s="399">
        <v>0</v>
      </c>
      <c r="AI362" s="399">
        <v>0</v>
      </c>
      <c r="AJ362" s="399">
        <v>0</v>
      </c>
      <c r="AK362" s="399">
        <v>0</v>
      </c>
      <c r="AL362" s="399">
        <v>70.663695431423932</v>
      </c>
      <c r="AM362" s="399"/>
      <c r="AN362" s="399">
        <v>8.8139975265993087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16.109381990569773</v>
      </c>
      <c r="BH362" s="399">
        <v>0</v>
      </c>
      <c r="BI362" s="399">
        <v>0</v>
      </c>
      <c r="BJ362" s="399">
        <v>0</v>
      </c>
      <c r="BK362" s="399">
        <v>2361.9899999999998</v>
      </c>
      <c r="BL362" s="399">
        <v>22</v>
      </c>
      <c r="BM362" s="399"/>
      <c r="BN362" s="399"/>
      <c r="BO362" s="399"/>
      <c r="BP362" s="399"/>
      <c r="BQ362" s="399"/>
      <c r="BR362" s="399">
        <v>492.72851999999989</v>
      </c>
      <c r="BS362" s="399"/>
      <c r="BT362" s="399"/>
      <c r="BU362" s="399"/>
      <c r="BV362" s="399">
        <v>1593.8732467493421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3615.5727999999999</v>
      </c>
      <c r="CJ362" s="399">
        <v>-542.25646000000052</v>
      </c>
      <c r="CK362" s="399"/>
      <c r="CL362" s="399"/>
      <c r="CM362" s="399"/>
      <c r="CN362" s="399"/>
      <c r="CO362" s="399">
        <v>-821.88794000000007</v>
      </c>
      <c r="CP362" s="399">
        <v>203.46948000000003</v>
      </c>
      <c r="CQ362" s="399">
        <v>30</v>
      </c>
      <c r="CR362" s="399">
        <v>211.95780850086157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27.829274000221289</v>
      </c>
      <c r="DA362" s="399">
        <v>0</v>
      </c>
      <c r="DB362" s="399">
        <v>0</v>
      </c>
      <c r="DC362" s="399">
        <v>203.46562530256915</v>
      </c>
      <c r="DD362" s="399">
        <v>0</v>
      </c>
      <c r="DE362" s="399">
        <v>0</v>
      </c>
      <c r="DF362" s="399">
        <v>0</v>
      </c>
      <c r="DG362" s="399">
        <v>2.077437285236865</v>
      </c>
      <c r="DH362" s="399">
        <v>0</v>
      </c>
      <c r="DI362" s="399">
        <v>-18.593126662076486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-2.2467902530617749</v>
      </c>
      <c r="DP362" s="399">
        <v>-0.57461117202734613</v>
      </c>
      <c r="DQ362" s="399">
        <v>0</v>
      </c>
      <c r="DR362" s="399">
        <v>0</v>
      </c>
      <c r="DS362" s="399"/>
      <c r="DT362" s="399"/>
      <c r="DU362" s="399"/>
      <c r="DV362" s="399">
        <v>1892.5393415907324</v>
      </c>
      <c r="DW362" s="399">
        <v>0</v>
      </c>
      <c r="DX362" s="399">
        <v>0</v>
      </c>
      <c r="DY362" s="399">
        <v>-821.88794000000007</v>
      </c>
      <c r="DZ362" s="399">
        <v>203.4694800000002</v>
      </c>
      <c r="EA362" s="399">
        <v>0</v>
      </c>
      <c r="EB362" s="399">
        <v>0</v>
      </c>
      <c r="EC362" s="399">
        <v>-830.39385185566357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216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362</v>
      </c>
      <c r="B363" s="399" t="s">
        <v>954</v>
      </c>
      <c r="C363" s="399" t="s">
        <v>2352</v>
      </c>
      <c r="D363" s="399" t="s">
        <v>1824</v>
      </c>
      <c r="E363" s="399" t="s">
        <v>2364</v>
      </c>
      <c r="F363" s="399" t="s">
        <v>1237</v>
      </c>
      <c r="G363" s="399" t="s">
        <v>1237</v>
      </c>
      <c r="H363" s="399" t="s">
        <v>1237</v>
      </c>
      <c r="I363" s="399" t="s">
        <v>1237</v>
      </c>
      <c r="J363" s="399" t="s">
        <v>2353</v>
      </c>
      <c r="K363" s="789">
        <v>44713</v>
      </c>
      <c r="L363" s="399">
        <v>0</v>
      </c>
      <c r="M363" s="399">
        <v>0</v>
      </c>
      <c r="N363" s="399">
        <v>26.954000000000001</v>
      </c>
      <c r="O363" s="399">
        <v>26.954000000000001</v>
      </c>
      <c r="P363" s="399">
        <v>26.954000000000001</v>
      </c>
      <c r="Q363" s="399">
        <v>26.954000000000001</v>
      </c>
      <c r="R363" s="399"/>
      <c r="S363" s="399">
        <v>415.98</v>
      </c>
      <c r="T363" s="399">
        <v>215.17</v>
      </c>
      <c r="U363" s="399"/>
      <c r="V363" s="399">
        <v>17012.017100000001</v>
      </c>
      <c r="W363" s="399">
        <v>17012.017100000001</v>
      </c>
      <c r="X363" s="399">
        <v>14785.347160000001</v>
      </c>
      <c r="Y363" s="399">
        <v>0</v>
      </c>
      <c r="Z363" s="399">
        <v>1646.528165030722</v>
      </c>
      <c r="AA363" s="399">
        <v>0</v>
      </c>
      <c r="AB363" s="399">
        <v>0</v>
      </c>
      <c r="AC363" s="399">
        <v>0</v>
      </c>
      <c r="AD363" s="399">
        <v>2407.4120733770628</v>
      </c>
      <c r="AE363" s="399">
        <v>6814.2539958905427</v>
      </c>
      <c r="AF363" s="399">
        <v>5680.8772656569527</v>
      </c>
      <c r="AG363" s="399">
        <v>118.78558892036494</v>
      </c>
      <c r="AH363" s="399">
        <v>0</v>
      </c>
      <c r="AI363" s="399">
        <v>0</v>
      </c>
      <c r="AJ363" s="399">
        <v>0</v>
      </c>
      <c r="AK363" s="399">
        <v>0</v>
      </c>
      <c r="AL363" s="399">
        <v>254.43083711709869</v>
      </c>
      <c r="AM363" s="399"/>
      <c r="AN363" s="399">
        <v>31.735571644664411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58.003243678041365</v>
      </c>
      <c r="BH363" s="399">
        <v>0</v>
      </c>
      <c r="BI363" s="399">
        <v>0</v>
      </c>
      <c r="BJ363" s="399">
        <v>0</v>
      </c>
      <c r="BK363" s="399">
        <v>4069.38</v>
      </c>
      <c r="BL363" s="399">
        <v>50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5738.8805093349938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14783.152999999998</v>
      </c>
      <c r="CJ363" s="399">
        <v>-2228.8941000000013</v>
      </c>
      <c r="CK363" s="399"/>
      <c r="CL363" s="399"/>
      <c r="CM363" s="399"/>
      <c r="CN363" s="399"/>
      <c r="CO363" s="399">
        <v>-2959.2796600000006</v>
      </c>
      <c r="CP363" s="399">
        <v>732.60972000000015</v>
      </c>
      <c r="CQ363" s="399">
        <v>30</v>
      </c>
      <c r="CR363" s="399">
        <v>763.17269173553905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100.20174344135239</v>
      </c>
      <c r="DA363" s="399">
        <v>0</v>
      </c>
      <c r="DB363" s="399">
        <v>0</v>
      </c>
      <c r="DC363" s="399">
        <v>732.59584082359834</v>
      </c>
      <c r="DD363" s="399">
        <v>0</v>
      </c>
      <c r="DE363" s="399">
        <v>0</v>
      </c>
      <c r="DF363" s="399">
        <v>0</v>
      </c>
      <c r="DG363" s="399">
        <v>7.4799952693393621</v>
      </c>
      <c r="DH363" s="399">
        <v>0</v>
      </c>
      <c r="DI363" s="399">
        <v>-66.946184350736075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-8.0897654930573424</v>
      </c>
      <c r="DP363" s="399">
        <v>-2.0689379549592672</v>
      </c>
      <c r="DQ363" s="399">
        <v>0</v>
      </c>
      <c r="DR363" s="399">
        <v>0</v>
      </c>
      <c r="DS363" s="399"/>
      <c r="DT363" s="399"/>
      <c r="DU363" s="399"/>
      <c r="DV363" s="399">
        <v>6814.2539958905427</v>
      </c>
      <c r="DW363" s="399">
        <v>0</v>
      </c>
      <c r="DX363" s="399">
        <v>0</v>
      </c>
      <c r="DY363" s="399">
        <v>-2959.2796600000001</v>
      </c>
      <c r="DZ363" s="399">
        <v>732.60972000000038</v>
      </c>
      <c r="EA363" s="399">
        <v>0</v>
      </c>
      <c r="EB363" s="399">
        <v>0</v>
      </c>
      <c r="EC363" s="399">
        <v>-2989.9059421476832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216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363</v>
      </c>
      <c r="B364" s="399" t="s">
        <v>954</v>
      </c>
      <c r="C364" s="399" t="s">
        <v>2352</v>
      </c>
      <c r="D364" s="399" t="s">
        <v>2365</v>
      </c>
      <c r="E364" s="399" t="s">
        <v>2366</v>
      </c>
      <c r="F364" s="399" t="s">
        <v>2367</v>
      </c>
      <c r="G364" s="399" t="s">
        <v>1237</v>
      </c>
      <c r="H364" s="399" t="s">
        <v>1237</v>
      </c>
      <c r="I364" s="399" t="s">
        <v>1237</v>
      </c>
      <c r="J364" s="399" t="s">
        <v>2353</v>
      </c>
      <c r="K364" s="789">
        <v>44713</v>
      </c>
      <c r="L364" s="399">
        <v>0</v>
      </c>
      <c r="M364" s="399">
        <v>0</v>
      </c>
      <c r="N364" s="399">
        <v>110.32899999999999</v>
      </c>
      <c r="O364" s="399">
        <v>110.32899999999999</v>
      </c>
      <c r="P364" s="399">
        <v>110.32899999999999</v>
      </c>
      <c r="Q364" s="399">
        <v>110.32899999999999</v>
      </c>
      <c r="R364" s="399"/>
      <c r="S364" s="399">
        <v>228.79</v>
      </c>
      <c r="T364" s="399">
        <v>118.34</v>
      </c>
      <c r="U364" s="399"/>
      <c r="V364" s="399">
        <v>38298.505769999996</v>
      </c>
      <c r="W364" s="399">
        <v>38298.505769999996</v>
      </c>
      <c r="X364" s="399">
        <v>33285.156009999999</v>
      </c>
      <c r="Y364" s="399">
        <v>0</v>
      </c>
      <c r="Z364" s="399">
        <v>3706.7928046234624</v>
      </c>
      <c r="AA364" s="399">
        <v>0</v>
      </c>
      <c r="AB364" s="399">
        <v>0</v>
      </c>
      <c r="AC364" s="399">
        <v>0</v>
      </c>
      <c r="AD364" s="399">
        <v>5419.754086740003</v>
      </c>
      <c r="AE364" s="399">
        <v>15340.780812196146</v>
      </c>
      <c r="AF364" s="399">
        <v>12789.234596477874</v>
      </c>
      <c r="AG364" s="399">
        <v>267.41939534010658</v>
      </c>
      <c r="AH364" s="399">
        <v>0</v>
      </c>
      <c r="AI364" s="399">
        <v>0</v>
      </c>
      <c r="AJ364" s="399">
        <v>0</v>
      </c>
      <c r="AK364" s="399">
        <v>0</v>
      </c>
      <c r="AL364" s="399">
        <v>572.79457244048456</v>
      </c>
      <c r="AM364" s="399"/>
      <c r="AN364" s="399">
        <v>71.445597543641256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130.58143242060643</v>
      </c>
      <c r="BH364" s="399">
        <v>0</v>
      </c>
      <c r="BI364" s="399">
        <v>0</v>
      </c>
      <c r="BJ364" s="399">
        <v>0</v>
      </c>
      <c r="BK364" s="399">
        <v>11094.63</v>
      </c>
      <c r="BL364" s="399">
        <v>87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>
        <v>12919.81602889848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33285.457699999999</v>
      </c>
      <c r="CJ364" s="399">
        <v>-5013.0780699999959</v>
      </c>
      <c r="CK364" s="399"/>
      <c r="CL364" s="399"/>
      <c r="CM364" s="399"/>
      <c r="CN364" s="399"/>
      <c r="CO364" s="399">
        <v>-6662.7683099999977</v>
      </c>
      <c r="CP364" s="399">
        <v>1649.4185499999987</v>
      </c>
      <c r="CQ364" s="399">
        <v>30</v>
      </c>
      <c r="CR364" s="399">
        <v>1718.1139700442036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225.58199093556959</v>
      </c>
      <c r="DA364" s="399">
        <v>0</v>
      </c>
      <c r="DB364" s="399">
        <v>0</v>
      </c>
      <c r="DC364" s="399">
        <v>1649.2769751141423</v>
      </c>
      <c r="DD364" s="399">
        <v>0</v>
      </c>
      <c r="DE364" s="399">
        <v>0</v>
      </c>
      <c r="DF364" s="399">
        <v>0</v>
      </c>
      <c r="DG364" s="399">
        <v>16.839549563665713</v>
      </c>
      <c r="DH364" s="399">
        <v>0</v>
      </c>
      <c r="DI364" s="399">
        <v>-150.71447893736104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-18.212311916448698</v>
      </c>
      <c r="DP364" s="399">
        <v>-4.6577547153666075</v>
      </c>
      <c r="DQ364" s="399">
        <v>0</v>
      </c>
      <c r="DR364" s="399">
        <v>0</v>
      </c>
      <c r="DS364" s="399"/>
      <c r="DT364" s="399"/>
      <c r="DU364" s="399"/>
      <c r="DV364" s="399">
        <v>15340.780812196146</v>
      </c>
      <c r="DW364" s="399">
        <v>0</v>
      </c>
      <c r="DX364" s="399">
        <v>0</v>
      </c>
      <c r="DY364" s="399">
        <v>-6662.7683099999995</v>
      </c>
      <c r="DZ364" s="399">
        <v>1649.4185500000003</v>
      </c>
      <c r="EA364" s="399">
        <v>0</v>
      </c>
      <c r="EB364" s="399">
        <v>0</v>
      </c>
      <c r="EC364" s="399">
        <v>-6731.1097788887382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216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364</v>
      </c>
      <c r="B365" s="399" t="s">
        <v>954</v>
      </c>
      <c r="C365" s="399" t="s">
        <v>2352</v>
      </c>
      <c r="D365" s="399" t="s">
        <v>1824</v>
      </c>
      <c r="E365" s="399" t="s">
        <v>919</v>
      </c>
      <c r="F365" s="399" t="s">
        <v>2368</v>
      </c>
      <c r="G365" s="399" t="s">
        <v>1237</v>
      </c>
      <c r="H365" s="399" t="s">
        <v>1237</v>
      </c>
      <c r="I365" s="399" t="s">
        <v>1237</v>
      </c>
      <c r="J365" s="399" t="s">
        <v>2353</v>
      </c>
      <c r="K365" s="789">
        <v>44713</v>
      </c>
      <c r="L365" s="399">
        <v>0</v>
      </c>
      <c r="M365" s="399">
        <v>0</v>
      </c>
      <c r="N365" s="399">
        <v>20.315000000000001</v>
      </c>
      <c r="O365" s="399">
        <v>19.0961</v>
      </c>
      <c r="P365" s="399">
        <v>20.315000000000001</v>
      </c>
      <c r="Q365" s="399">
        <v>19.0961</v>
      </c>
      <c r="R365" s="399"/>
      <c r="S365" s="399">
        <v>415.98</v>
      </c>
      <c r="T365" s="399">
        <v>215.17</v>
      </c>
      <c r="U365" s="399"/>
      <c r="V365" s="399">
        <v>12821.812249999999</v>
      </c>
      <c r="W365" s="399">
        <v>12821.812249999999</v>
      </c>
      <c r="X365" s="399">
        <v>11143.590100000001</v>
      </c>
      <c r="Y365" s="399">
        <v>0</v>
      </c>
      <c r="Z365" s="399">
        <v>1240.9742402834131</v>
      </c>
      <c r="AA365" s="399">
        <v>0</v>
      </c>
      <c r="AB365" s="399">
        <v>0</v>
      </c>
      <c r="AC365" s="399">
        <v>0</v>
      </c>
      <c r="AD365" s="399">
        <v>1814.4459549846047</v>
      </c>
      <c r="AE365" s="399">
        <v>5135.8451408516876</v>
      </c>
      <c r="AF365" s="399">
        <v>4281.6287620323883</v>
      </c>
      <c r="AG365" s="399">
        <v>89.527685646553905</v>
      </c>
      <c r="AH365" s="399">
        <v>0</v>
      </c>
      <c r="AI365" s="399">
        <v>0</v>
      </c>
      <c r="AJ365" s="399">
        <v>0</v>
      </c>
      <c r="AK365" s="399">
        <v>0</v>
      </c>
      <c r="AL365" s="399">
        <v>191.76235275038437</v>
      </c>
      <c r="AM365" s="399"/>
      <c r="AN365" s="399">
        <v>23.918829782642931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43.716550245581743</v>
      </c>
      <c r="BH365" s="399">
        <v>0</v>
      </c>
      <c r="BI365" s="399">
        <v>0</v>
      </c>
      <c r="BJ365" s="399">
        <v>0</v>
      </c>
      <c r="BK365" s="399">
        <v>3714.51</v>
      </c>
      <c r="BL365" s="399">
        <v>4</v>
      </c>
      <c r="BM365" s="399"/>
      <c r="BN365" s="399"/>
      <c r="BO365" s="399"/>
      <c r="BP365" s="399"/>
      <c r="BQ365" s="399">
        <v>668.6154060000008</v>
      </c>
      <c r="BR365" s="399"/>
      <c r="BS365" s="399"/>
      <c r="BT365" s="399"/>
      <c r="BU365" s="399"/>
      <c r="BV365" s="399">
        <v>4325.3453122779702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10477.114000000001</v>
      </c>
      <c r="CJ365" s="399">
        <v>-1575.4195149999996</v>
      </c>
      <c r="CK365" s="399"/>
      <c r="CL365" s="399"/>
      <c r="CM365" s="399"/>
      <c r="CN365" s="399"/>
      <c r="CO365" s="399">
        <v>-2230.3838500000006</v>
      </c>
      <c r="CP365" s="399">
        <v>552.16170000000022</v>
      </c>
      <c r="CQ365" s="399">
        <v>30</v>
      </c>
      <c r="CR365" s="399">
        <v>575.19675122829267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75.521199748128993</v>
      </c>
      <c r="DA365" s="399">
        <v>0</v>
      </c>
      <c r="DB365" s="399">
        <v>0</v>
      </c>
      <c r="DC365" s="399">
        <v>552.15123938307443</v>
      </c>
      <c r="DD365" s="399">
        <v>0</v>
      </c>
      <c r="DE365" s="399">
        <v>0</v>
      </c>
      <c r="DF365" s="399">
        <v>0</v>
      </c>
      <c r="DG365" s="399">
        <v>5.6376086627821209</v>
      </c>
      <c r="DH365" s="399">
        <v>0</v>
      </c>
      <c r="DI365" s="399">
        <v>-50.456768386332442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-6.097187281719215</v>
      </c>
      <c r="DP365" s="399">
        <v>-1.5593408976403325</v>
      </c>
      <c r="DQ365" s="399">
        <v>0</v>
      </c>
      <c r="DR365" s="399">
        <v>0</v>
      </c>
      <c r="DS365" s="399"/>
      <c r="DT365" s="399"/>
      <c r="DU365" s="399"/>
      <c r="DV365" s="399">
        <v>5135.8451408516876</v>
      </c>
      <c r="DW365" s="399">
        <v>0</v>
      </c>
      <c r="DX365" s="399">
        <v>0</v>
      </c>
      <c r="DY365" s="399">
        <v>-2230.3838500000002</v>
      </c>
      <c r="DZ365" s="399">
        <v>552.16170000000056</v>
      </c>
      <c r="EA365" s="399">
        <v>0</v>
      </c>
      <c r="EB365" s="399">
        <v>0</v>
      </c>
      <c r="EC365" s="399">
        <v>-2253.4666177461672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216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365</v>
      </c>
      <c r="B366" s="399" t="s">
        <v>954</v>
      </c>
      <c r="C366" s="399" t="s">
        <v>2352</v>
      </c>
      <c r="D366" s="399" t="s">
        <v>1824</v>
      </c>
      <c r="E366" s="399" t="s">
        <v>2369</v>
      </c>
      <c r="F366" s="399" t="s">
        <v>1237</v>
      </c>
      <c r="G366" s="399" t="s">
        <v>1237</v>
      </c>
      <c r="H366" s="399" t="s">
        <v>1237</v>
      </c>
      <c r="I366" s="399" t="s">
        <v>1237</v>
      </c>
      <c r="J366" s="399" t="s">
        <v>2353</v>
      </c>
      <c r="K366" s="789">
        <v>44713</v>
      </c>
      <c r="L366" s="399">
        <v>0</v>
      </c>
      <c r="M366" s="399">
        <v>0</v>
      </c>
      <c r="N366" s="399">
        <v>2.0249999999999999</v>
      </c>
      <c r="O366" s="399">
        <v>2.0249999999999999</v>
      </c>
      <c r="P366" s="399">
        <v>2.0249999999999999</v>
      </c>
      <c r="Q366" s="399">
        <v>2.0249999999999999</v>
      </c>
      <c r="R366" s="399"/>
      <c r="S366" s="399">
        <v>415.98</v>
      </c>
      <c r="T366" s="399">
        <v>215.17</v>
      </c>
      <c r="U366" s="399"/>
      <c r="V366" s="399">
        <v>1278.0787499999999</v>
      </c>
      <c r="W366" s="399">
        <v>1278.0787499999999</v>
      </c>
      <c r="X366" s="399">
        <v>1110.7934999999998</v>
      </c>
      <c r="Y366" s="399">
        <v>0</v>
      </c>
      <c r="Z366" s="399">
        <v>123.70036114072909</v>
      </c>
      <c r="AA366" s="399">
        <v>0</v>
      </c>
      <c r="AB366" s="399">
        <v>0</v>
      </c>
      <c r="AC366" s="399">
        <v>0</v>
      </c>
      <c r="AD366" s="399">
        <v>180.86404424532728</v>
      </c>
      <c r="AE366" s="399">
        <v>511.94124588848956</v>
      </c>
      <c r="AF366" s="399">
        <v>426.79292360893851</v>
      </c>
      <c r="AG366" s="399">
        <v>8.9241232308280392</v>
      </c>
      <c r="AH366" s="399">
        <v>0</v>
      </c>
      <c r="AI366" s="399">
        <v>0</v>
      </c>
      <c r="AJ366" s="399">
        <v>0</v>
      </c>
      <c r="AK366" s="399">
        <v>0</v>
      </c>
      <c r="AL366" s="399">
        <v>19.114878873715398</v>
      </c>
      <c r="AM366" s="399"/>
      <c r="AN366" s="399">
        <v>2.3842298946518303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4.3576674500272228</v>
      </c>
      <c r="BH366" s="399">
        <v>0</v>
      </c>
      <c r="BI366" s="399">
        <v>0</v>
      </c>
      <c r="BJ366" s="399">
        <v>0</v>
      </c>
      <c r="BK366" s="399">
        <v>370.26</v>
      </c>
      <c r="BL366" s="399">
        <v>1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>
        <v>431.15059105896574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1113.5361999999998</v>
      </c>
      <c r="CJ366" s="399">
        <v>-164.57255000000009</v>
      </c>
      <c r="CK366" s="399"/>
      <c r="CL366" s="399"/>
      <c r="CM366" s="399"/>
      <c r="CN366" s="399"/>
      <c r="CO366" s="399">
        <v>-222.32475000000002</v>
      </c>
      <c r="CP366" s="399">
        <v>55.039500000000011</v>
      </c>
      <c r="CQ366" s="399">
        <v>30</v>
      </c>
      <c r="CR366" s="399">
        <v>57.335634813551337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7.5279561649008997</v>
      </c>
      <c r="DA366" s="399">
        <v>0</v>
      </c>
      <c r="DB366" s="399">
        <v>0</v>
      </c>
      <c r="DC366" s="399">
        <v>55.038457285292907</v>
      </c>
      <c r="DD366" s="399">
        <v>0</v>
      </c>
      <c r="DE366" s="399">
        <v>0</v>
      </c>
      <c r="DF366" s="399">
        <v>0</v>
      </c>
      <c r="DG366" s="399">
        <v>0.56195705351384539</v>
      </c>
      <c r="DH366" s="399">
        <v>0</v>
      </c>
      <c r="DI366" s="399">
        <v>-5.0295326597254899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-0.60776786834759733</v>
      </c>
      <c r="DP366" s="399">
        <v>-0.15543516208327235</v>
      </c>
      <c r="DQ366" s="399">
        <v>0</v>
      </c>
      <c r="DR366" s="399">
        <v>0</v>
      </c>
      <c r="DS366" s="399"/>
      <c r="DT366" s="399"/>
      <c r="DU366" s="399"/>
      <c r="DV366" s="399">
        <v>511.94124588848956</v>
      </c>
      <c r="DW366" s="399">
        <v>0</v>
      </c>
      <c r="DX366" s="399">
        <v>0</v>
      </c>
      <c r="DY366" s="399">
        <v>-222.32475000000011</v>
      </c>
      <c r="DZ366" s="399">
        <v>55.039500000000032</v>
      </c>
      <c r="EA366" s="399">
        <v>0</v>
      </c>
      <c r="EB366" s="399">
        <v>0</v>
      </c>
      <c r="EC366" s="399">
        <v>-224.62564119793194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216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366</v>
      </c>
      <c r="B367" s="399" t="s">
        <v>954</v>
      </c>
      <c r="C367" s="399" t="s">
        <v>2352</v>
      </c>
      <c r="D367" s="399" t="s">
        <v>2363</v>
      </c>
      <c r="E367" s="399" t="s">
        <v>892</v>
      </c>
      <c r="F367" s="399" t="s">
        <v>2370</v>
      </c>
      <c r="G367" s="399" t="s">
        <v>2371</v>
      </c>
      <c r="H367" s="399" t="s">
        <v>1237</v>
      </c>
      <c r="I367" s="399" t="s">
        <v>1237</v>
      </c>
      <c r="J367" s="399" t="s">
        <v>2353</v>
      </c>
      <c r="K367" s="789">
        <v>44713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>
        <v>0</v>
      </c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>
        <v>0</v>
      </c>
      <c r="BA367" s="399"/>
      <c r="BB367" s="399"/>
      <c r="BC367" s="399"/>
      <c r="BD367" s="399"/>
      <c r="BE367" s="399"/>
      <c r="BF367" s="399"/>
      <c r="BG367" s="399"/>
      <c r="BH367" s="399"/>
      <c r="BI367" s="399">
        <v>0</v>
      </c>
      <c r="BJ367" s="399">
        <v>0</v>
      </c>
      <c r="BK367" s="399">
        <v>479.42</v>
      </c>
      <c r="BL367" s="399">
        <v>9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/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/>
      <c r="CJ367" s="399">
        <v>-0.03</v>
      </c>
      <c r="CK367" s="399"/>
      <c r="CL367" s="399"/>
      <c r="CM367" s="399"/>
      <c r="CN367" s="399"/>
      <c r="CO367" s="399">
        <v>0</v>
      </c>
      <c r="CP367" s="399">
        <v>0</v>
      </c>
      <c r="CQ367" s="399">
        <v>30</v>
      </c>
      <c r="CR367" s="399"/>
      <c r="CS367" s="399"/>
      <c r="CT367" s="399"/>
      <c r="CU367" s="399"/>
      <c r="CV367" s="399"/>
      <c r="CW367" s="399"/>
      <c r="CX367" s="399"/>
      <c r="CY367" s="399"/>
      <c r="CZ367" s="399"/>
      <c r="DA367" s="399"/>
      <c r="DB367" s="399"/>
      <c r="DC367" s="399"/>
      <c r="DD367" s="399"/>
      <c r="DE367" s="399"/>
      <c r="DF367" s="399"/>
      <c r="DG367" s="399"/>
      <c r="DH367" s="399"/>
      <c r="DI367" s="399"/>
      <c r="DJ367" s="399"/>
      <c r="DK367" s="399">
        <v>0</v>
      </c>
      <c r="DL367" s="399"/>
      <c r="DM367" s="399"/>
      <c r="DN367" s="399"/>
      <c r="DO367" s="399"/>
      <c r="DP367" s="399"/>
      <c r="DQ367" s="399"/>
      <c r="DR367" s="399"/>
      <c r="DS367" s="399"/>
      <c r="DT367" s="399"/>
      <c r="DU367" s="399"/>
      <c r="DV367" s="399"/>
      <c r="DW367" s="399"/>
      <c r="DX367" s="399"/>
      <c r="DY367" s="399"/>
      <c r="DZ367" s="399"/>
      <c r="EA367" s="399"/>
      <c r="EB367" s="399"/>
      <c r="EC367" s="399"/>
      <c r="ED367" s="399"/>
      <c r="EE367" s="399"/>
      <c r="EF367" s="399"/>
      <c r="EG367" s="399"/>
      <c r="EH367" s="399"/>
      <c r="EI367" s="399"/>
      <c r="EJ367" s="399"/>
      <c r="EK367" s="399"/>
      <c r="EL367" s="399"/>
      <c r="EM367" s="399"/>
      <c r="EN367" s="399"/>
      <c r="EO367" s="399"/>
      <c r="EP367" s="399"/>
      <c r="EQ367" s="399"/>
      <c r="ER367" s="399"/>
      <c r="ES367" s="399"/>
      <c r="ET367" s="399"/>
      <c r="EU367" s="399"/>
      <c r="EV367" s="399">
        <v>216</v>
      </c>
      <c r="EW367" s="399"/>
      <c r="EX367" s="399"/>
      <c r="EY367" s="399"/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367</v>
      </c>
      <c r="B368" s="399" t="s">
        <v>2355</v>
      </c>
      <c r="C368" s="399" t="s">
        <v>2352</v>
      </c>
      <c r="D368" s="399" t="s">
        <v>2363</v>
      </c>
      <c r="E368" s="399" t="s">
        <v>892</v>
      </c>
      <c r="F368" s="399" t="s">
        <v>2370</v>
      </c>
      <c r="G368" s="399" t="s">
        <v>2371</v>
      </c>
      <c r="H368" s="399" t="s">
        <v>1237</v>
      </c>
      <c r="I368" s="399" t="s">
        <v>1237</v>
      </c>
      <c r="J368" s="399" t="s">
        <v>2353</v>
      </c>
      <c r="K368" s="789">
        <v>44713</v>
      </c>
      <c r="L368" s="399">
        <v>0</v>
      </c>
      <c r="M368" s="399">
        <v>0</v>
      </c>
      <c r="N368" s="399">
        <v>0</v>
      </c>
      <c r="O368" s="399">
        <v>0</v>
      </c>
      <c r="P368" s="399">
        <v>0</v>
      </c>
      <c r="Q368" s="399">
        <v>0</v>
      </c>
      <c r="R368" s="399"/>
      <c r="S368" s="399"/>
      <c r="T368" s="399"/>
      <c r="U368" s="399"/>
      <c r="V368" s="399"/>
      <c r="W368" s="399"/>
      <c r="X368" s="399"/>
      <c r="Y368" s="399"/>
      <c r="Z368" s="399"/>
      <c r="AA368" s="399">
        <v>0</v>
      </c>
      <c r="AB368" s="399"/>
      <c r="AC368" s="399"/>
      <c r="AD368" s="399"/>
      <c r="AE368" s="399"/>
      <c r="AF368" s="399"/>
      <c r="AG368" s="399"/>
      <c r="AH368" s="399"/>
      <c r="AI368" s="399"/>
      <c r="AJ368" s="399"/>
      <c r="AK368" s="399"/>
      <c r="AL368" s="399"/>
      <c r="AM368" s="399"/>
      <c r="AN368" s="399"/>
      <c r="AO368" s="399"/>
      <c r="AP368" s="399"/>
      <c r="AQ368" s="399"/>
      <c r="AR368" s="399"/>
      <c r="AS368" s="399"/>
      <c r="AT368" s="399"/>
      <c r="AU368" s="399"/>
      <c r="AV368" s="399"/>
      <c r="AW368" s="399"/>
      <c r="AX368" s="399"/>
      <c r="AY368" s="399"/>
      <c r="AZ368" s="399">
        <v>0</v>
      </c>
      <c r="BA368" s="399"/>
      <c r="BB368" s="399"/>
      <c r="BC368" s="399"/>
      <c r="BD368" s="399"/>
      <c r="BE368" s="399"/>
      <c r="BF368" s="399"/>
      <c r="BG368" s="399"/>
      <c r="BH368" s="399"/>
      <c r="BI368" s="399">
        <v>0</v>
      </c>
      <c r="BJ368" s="399">
        <v>0</v>
      </c>
      <c r="BK368" s="399">
        <v>9.0500000000000007</v>
      </c>
      <c r="BL368" s="399">
        <v>1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/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/>
      <c r="CJ368" s="399">
        <v>-0.03</v>
      </c>
      <c r="CK368" s="399"/>
      <c r="CL368" s="399"/>
      <c r="CM368" s="399"/>
      <c r="CN368" s="399"/>
      <c r="CO368" s="399">
        <v>0</v>
      </c>
      <c r="CP368" s="399">
        <v>0</v>
      </c>
      <c r="CQ368" s="399">
        <v>30</v>
      </c>
      <c r="CR368" s="399"/>
      <c r="CS368" s="399"/>
      <c r="CT368" s="399"/>
      <c r="CU368" s="399"/>
      <c r="CV368" s="399"/>
      <c r="CW368" s="399"/>
      <c r="CX368" s="399"/>
      <c r="CY368" s="399"/>
      <c r="CZ368" s="399"/>
      <c r="DA368" s="399"/>
      <c r="DB368" s="399"/>
      <c r="DC368" s="399"/>
      <c r="DD368" s="399"/>
      <c r="DE368" s="399"/>
      <c r="DF368" s="399"/>
      <c r="DG368" s="399"/>
      <c r="DH368" s="399"/>
      <c r="DI368" s="399"/>
      <c r="DJ368" s="399"/>
      <c r="DK368" s="399">
        <v>0</v>
      </c>
      <c r="DL368" s="399"/>
      <c r="DM368" s="399"/>
      <c r="DN368" s="399"/>
      <c r="DO368" s="399"/>
      <c r="DP368" s="399"/>
      <c r="DQ368" s="399"/>
      <c r="DR368" s="399"/>
      <c r="DS368" s="399"/>
      <c r="DT368" s="399"/>
      <c r="DU368" s="399"/>
      <c r="DV368" s="399"/>
      <c r="DW368" s="399"/>
      <c r="DX368" s="399"/>
      <c r="DY368" s="399"/>
      <c r="DZ368" s="399"/>
      <c r="EA368" s="399"/>
      <c r="EB368" s="399"/>
      <c r="EC368" s="399"/>
      <c r="ED368" s="399"/>
      <c r="EE368" s="399"/>
      <c r="EF368" s="399"/>
      <c r="EG368" s="399"/>
      <c r="EH368" s="399"/>
      <c r="EI368" s="399"/>
      <c r="EJ368" s="399"/>
      <c r="EK368" s="399"/>
      <c r="EL368" s="399"/>
      <c r="EM368" s="399"/>
      <c r="EN368" s="399"/>
      <c r="EO368" s="399"/>
      <c r="EP368" s="399"/>
      <c r="EQ368" s="399"/>
      <c r="ER368" s="399"/>
      <c r="ES368" s="399"/>
      <c r="ET368" s="399"/>
      <c r="EU368" s="399"/>
      <c r="EV368" s="399">
        <v>216</v>
      </c>
      <c r="EW368" s="399"/>
      <c r="EX368" s="399"/>
      <c r="EY368" s="399"/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368</v>
      </c>
      <c r="B369" s="399" t="s">
        <v>954</v>
      </c>
      <c r="C369" s="399" t="s">
        <v>2352</v>
      </c>
      <c r="D369" s="399" t="s">
        <v>2363</v>
      </c>
      <c r="E369" s="399" t="s">
        <v>892</v>
      </c>
      <c r="F369" s="399" t="s">
        <v>2370</v>
      </c>
      <c r="G369" s="399" t="s">
        <v>2371</v>
      </c>
      <c r="H369" s="399" t="s">
        <v>1237</v>
      </c>
      <c r="I369" s="399" t="s">
        <v>1237</v>
      </c>
      <c r="J369" s="399" t="s">
        <v>2353</v>
      </c>
      <c r="K369" s="789">
        <v>44713</v>
      </c>
      <c r="L369" s="399">
        <v>0</v>
      </c>
      <c r="M369" s="399">
        <v>0</v>
      </c>
      <c r="N369" s="399">
        <v>1.6779999999999999</v>
      </c>
      <c r="O369" s="399">
        <v>1.6779999999999999</v>
      </c>
      <c r="P369" s="399">
        <v>1.6779999999999999</v>
      </c>
      <c r="Q369" s="399">
        <v>1.6779999999999999</v>
      </c>
      <c r="R369" s="399"/>
      <c r="S369" s="399">
        <v>415.98</v>
      </c>
      <c r="T369" s="399">
        <v>215.17</v>
      </c>
      <c r="U369" s="399"/>
      <c r="V369" s="399">
        <v>1059.0697</v>
      </c>
      <c r="W369" s="399">
        <v>1059.0697</v>
      </c>
      <c r="X369" s="399">
        <v>920.45011999999997</v>
      </c>
      <c r="Y369" s="399">
        <v>0</v>
      </c>
      <c r="Z369" s="399">
        <v>102.50331160204613</v>
      </c>
      <c r="AA369" s="399">
        <v>0</v>
      </c>
      <c r="AB369" s="399">
        <v>0</v>
      </c>
      <c r="AC369" s="399">
        <v>0</v>
      </c>
      <c r="AD369" s="399">
        <v>149.87153888575762</v>
      </c>
      <c r="AE369" s="399">
        <v>424.21600523500518</v>
      </c>
      <c r="AF369" s="399">
        <v>353.65853126706116</v>
      </c>
      <c r="AG369" s="399">
        <v>7.3949031018910869</v>
      </c>
      <c r="AH369" s="399">
        <v>0</v>
      </c>
      <c r="AI369" s="399">
        <v>0</v>
      </c>
      <c r="AJ369" s="399">
        <v>0</v>
      </c>
      <c r="AK369" s="399">
        <v>0</v>
      </c>
      <c r="AL369" s="399">
        <v>15.839390987700957</v>
      </c>
      <c r="AM369" s="399"/>
      <c r="AN369" s="399">
        <v>1.9756729694942079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3.6109461635287308</v>
      </c>
      <c r="BH369" s="399">
        <v>0</v>
      </c>
      <c r="BI369" s="399">
        <v>0</v>
      </c>
      <c r="BJ369" s="399">
        <v>0</v>
      </c>
      <c r="BK369" s="399">
        <v>0</v>
      </c>
      <c r="BL369" s="399">
        <v>0</v>
      </c>
      <c r="BM369" s="399"/>
      <c r="BN369" s="399"/>
      <c r="BO369" s="399"/>
      <c r="BP369" s="399"/>
      <c r="BQ369" s="399"/>
      <c r="BR369" s="399">
        <v>110.44595999999999</v>
      </c>
      <c r="BS369" s="399"/>
      <c r="BT369" s="399"/>
      <c r="BU369" s="399"/>
      <c r="BV369" s="399">
        <v>357.26947743058992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810.96960000000001</v>
      </c>
      <c r="CJ369" s="399">
        <v>-121.03837999999996</v>
      </c>
      <c r="CK369" s="399"/>
      <c r="CL369" s="399"/>
      <c r="CM369" s="399"/>
      <c r="CN369" s="399"/>
      <c r="CO369" s="399">
        <v>-184.22762000000003</v>
      </c>
      <c r="CP369" s="399">
        <v>45.60804000000001</v>
      </c>
      <c r="CQ369" s="399">
        <v>30</v>
      </c>
      <c r="CR369" s="399">
        <v>47.510713687476027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6.2379804665203551</v>
      </c>
      <c r="DA369" s="399">
        <v>0</v>
      </c>
      <c r="DB369" s="399">
        <v>0</v>
      </c>
      <c r="DC369" s="399">
        <v>45.607175962825409</v>
      </c>
      <c r="DD369" s="399">
        <v>0</v>
      </c>
      <c r="DE369" s="399">
        <v>0</v>
      </c>
      <c r="DF369" s="399">
        <v>0</v>
      </c>
      <c r="DG369" s="399">
        <v>0.46566120286233703</v>
      </c>
      <c r="DH369" s="399">
        <v>0</v>
      </c>
      <c r="DI369" s="399">
        <v>-4.1676818780342586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-0.50362196695667549</v>
      </c>
      <c r="DP369" s="399">
        <v>-0.12880009974110163</v>
      </c>
      <c r="DQ369" s="399">
        <v>0</v>
      </c>
      <c r="DR369" s="399">
        <v>0</v>
      </c>
      <c r="DS369" s="399"/>
      <c r="DT369" s="399"/>
      <c r="DU369" s="399"/>
      <c r="DV369" s="399">
        <v>424.21600523500518</v>
      </c>
      <c r="DW369" s="399">
        <v>0</v>
      </c>
      <c r="DX369" s="399">
        <v>0</v>
      </c>
      <c r="DY369" s="399">
        <v>-184.22762000000012</v>
      </c>
      <c r="DZ369" s="399">
        <v>45.608040000000017</v>
      </c>
      <c r="EA369" s="399">
        <v>0</v>
      </c>
      <c r="EB369" s="399">
        <v>0</v>
      </c>
      <c r="EC369" s="399">
        <v>-186.13423502722458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0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216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369</v>
      </c>
      <c r="B370" s="399" t="s">
        <v>2355</v>
      </c>
      <c r="C370" s="399" t="s">
        <v>2352</v>
      </c>
      <c r="D370" s="399" t="s">
        <v>2363</v>
      </c>
      <c r="E370" s="399" t="s">
        <v>892</v>
      </c>
      <c r="F370" s="399" t="s">
        <v>2370</v>
      </c>
      <c r="G370" s="399" t="s">
        <v>2371</v>
      </c>
      <c r="H370" s="399" t="s">
        <v>1237</v>
      </c>
      <c r="I370" s="399" t="s">
        <v>1237</v>
      </c>
      <c r="J370" s="399" t="s">
        <v>2353</v>
      </c>
      <c r="K370" s="789">
        <v>44713</v>
      </c>
      <c r="L370" s="399">
        <v>0</v>
      </c>
      <c r="M370" s="399">
        <v>0</v>
      </c>
      <c r="N370" s="399">
        <v>7.2999999999999995E-2</v>
      </c>
      <c r="O370" s="399">
        <v>7.2999999999999995E-2</v>
      </c>
      <c r="P370" s="399">
        <v>7.2999999999999995E-2</v>
      </c>
      <c r="Q370" s="399">
        <v>7.2999999999999995E-2</v>
      </c>
      <c r="R370" s="399"/>
      <c r="S370" s="399">
        <v>415.98</v>
      </c>
      <c r="T370" s="399">
        <v>215.17</v>
      </c>
      <c r="U370" s="399"/>
      <c r="V370" s="399">
        <v>46.073949999999996</v>
      </c>
      <c r="W370" s="399">
        <v>46.073949999999996</v>
      </c>
      <c r="X370" s="399">
        <v>40.043419999999998</v>
      </c>
      <c r="Y370" s="399">
        <v>0</v>
      </c>
      <c r="Z370" s="399">
        <v>4.4593216608756654</v>
      </c>
      <c r="AA370" s="399">
        <v>0</v>
      </c>
      <c r="AB370" s="399">
        <v>0</v>
      </c>
      <c r="AC370" s="399">
        <v>0</v>
      </c>
      <c r="AD370" s="399">
        <v>6.5200371505722927</v>
      </c>
      <c r="AE370" s="399">
        <v>18.455165901165302</v>
      </c>
      <c r="AF370" s="399">
        <v>15.385621443680252</v>
      </c>
      <c r="AG370" s="399">
        <v>0.32170913375330712</v>
      </c>
      <c r="AH370" s="399">
        <v>0</v>
      </c>
      <c r="AI370" s="399">
        <v>0</v>
      </c>
      <c r="AJ370" s="399">
        <v>0</v>
      </c>
      <c r="AK370" s="399">
        <v>0</v>
      </c>
      <c r="AL370" s="399">
        <v>0.68907958408949332</v>
      </c>
      <c r="AM370" s="399"/>
      <c r="AN370" s="399">
        <v>8.5950015955349929E-2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0.15709122165530234</v>
      </c>
      <c r="BH370" s="399">
        <v>0</v>
      </c>
      <c r="BI370" s="399">
        <v>0</v>
      </c>
      <c r="BJ370" s="399">
        <v>0</v>
      </c>
      <c r="BK370" s="399">
        <v>0</v>
      </c>
      <c r="BL370" s="399">
        <v>0</v>
      </c>
      <c r="BM370" s="399"/>
      <c r="BN370" s="399"/>
      <c r="BO370" s="399"/>
      <c r="BP370" s="399"/>
      <c r="BQ370" s="399"/>
      <c r="BR370" s="399">
        <v>4.8048599999999997</v>
      </c>
      <c r="BS370" s="399"/>
      <c r="BT370" s="399"/>
      <c r="BU370" s="399"/>
      <c r="BV370" s="399">
        <v>15.542712665335554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33.790400000000005</v>
      </c>
      <c r="CJ370" s="399">
        <v>-6.7845299999999895</v>
      </c>
      <c r="CK370" s="399"/>
      <c r="CL370" s="399"/>
      <c r="CM370" s="399"/>
      <c r="CN370" s="399"/>
      <c r="CO370" s="399">
        <v>-8.0146700000000006</v>
      </c>
      <c r="CP370" s="399">
        <v>1.9841400000000005</v>
      </c>
      <c r="CQ370" s="399">
        <v>30</v>
      </c>
      <c r="CR370" s="399">
        <v>2.0669142426613476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0.2713781728581548</v>
      </c>
      <c r="DA370" s="399">
        <v>0</v>
      </c>
      <c r="DB370" s="399">
        <v>0</v>
      </c>
      <c r="DC370" s="399">
        <v>1.9841024107784602</v>
      </c>
      <c r="DD370" s="399">
        <v>0</v>
      </c>
      <c r="DE370" s="399">
        <v>0</v>
      </c>
      <c r="DF370" s="399">
        <v>0</v>
      </c>
      <c r="DG370" s="399">
        <v>2.0258204892104087E-2</v>
      </c>
      <c r="DH370" s="399">
        <v>0</v>
      </c>
      <c r="DI370" s="399">
        <v>-0.18131154773331382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-2.1909656488580009E-2</v>
      </c>
      <c r="DP370" s="399">
        <v>-5.6033416454710494E-3</v>
      </c>
      <c r="DQ370" s="399">
        <v>0</v>
      </c>
      <c r="DR370" s="399">
        <v>0</v>
      </c>
      <c r="DS370" s="399"/>
      <c r="DT370" s="399"/>
      <c r="DU370" s="399"/>
      <c r="DV370" s="399">
        <v>18.455165901165302</v>
      </c>
      <c r="DW370" s="399">
        <v>0</v>
      </c>
      <c r="DX370" s="399">
        <v>0</v>
      </c>
      <c r="DY370" s="399">
        <v>-8.0146700000000024</v>
      </c>
      <c r="DZ370" s="399">
        <v>1.9841400000000018</v>
      </c>
      <c r="EA370" s="399">
        <v>0</v>
      </c>
      <c r="EB370" s="399">
        <v>0</v>
      </c>
      <c r="EC370" s="399">
        <v>-8.0976157073822357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216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370</v>
      </c>
      <c r="B371" s="399" t="s">
        <v>954</v>
      </c>
      <c r="C371" s="399" t="s">
        <v>2352</v>
      </c>
      <c r="D371" s="399" t="s">
        <v>2363</v>
      </c>
      <c r="E371" s="399" t="s">
        <v>892</v>
      </c>
      <c r="F371" s="399" t="s">
        <v>2370</v>
      </c>
      <c r="G371" s="399" t="s">
        <v>2372</v>
      </c>
      <c r="H371" s="399" t="s">
        <v>1237</v>
      </c>
      <c r="I371" s="399" t="s">
        <v>1237</v>
      </c>
      <c r="J371" s="399" t="s">
        <v>2353</v>
      </c>
      <c r="K371" s="789">
        <v>44713</v>
      </c>
      <c r="L371" s="399">
        <v>0</v>
      </c>
      <c r="M371" s="399">
        <v>0</v>
      </c>
      <c r="N371" s="399">
        <v>1.663</v>
      </c>
      <c r="O371" s="399">
        <v>0.66520000000000001</v>
      </c>
      <c r="P371" s="399">
        <v>1.663</v>
      </c>
      <c r="Q371" s="399">
        <v>0.66520000000000001</v>
      </c>
      <c r="R371" s="399"/>
      <c r="S371" s="399">
        <v>415.98</v>
      </c>
      <c r="T371" s="399">
        <v>215.17</v>
      </c>
      <c r="U371" s="399"/>
      <c r="V371" s="399">
        <v>1049.6024500000001</v>
      </c>
      <c r="W371" s="399">
        <v>1049.6024500000001</v>
      </c>
      <c r="X371" s="399">
        <v>912.22201999999993</v>
      </c>
      <c r="Y371" s="399">
        <v>0</v>
      </c>
      <c r="Z371" s="399">
        <v>101.58701263063332</v>
      </c>
      <c r="AA371" s="399">
        <v>0</v>
      </c>
      <c r="AB371" s="399">
        <v>0</v>
      </c>
      <c r="AC371" s="399">
        <v>0</v>
      </c>
      <c r="AD371" s="399">
        <v>148.53180522468114</v>
      </c>
      <c r="AE371" s="399">
        <v>420.42384785805342</v>
      </c>
      <c r="AF371" s="399">
        <v>350.49710220329126</v>
      </c>
      <c r="AG371" s="399">
        <v>7.328798485366435</v>
      </c>
      <c r="AH371" s="399">
        <v>0</v>
      </c>
      <c r="AI371" s="399">
        <v>0</v>
      </c>
      <c r="AJ371" s="399">
        <v>0</v>
      </c>
      <c r="AK371" s="399">
        <v>0</v>
      </c>
      <c r="AL371" s="399">
        <v>15.697799292340102</v>
      </c>
      <c r="AM371" s="399"/>
      <c r="AN371" s="399">
        <v>1.9580120073116019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3.5786671453803809</v>
      </c>
      <c r="BH371" s="399">
        <v>0</v>
      </c>
      <c r="BI371" s="399">
        <v>0</v>
      </c>
      <c r="BJ371" s="399">
        <v>0</v>
      </c>
      <c r="BK371" s="399">
        <v>0</v>
      </c>
      <c r="BL371" s="399">
        <v>0</v>
      </c>
      <c r="BM371" s="399"/>
      <c r="BN371" s="399"/>
      <c r="BO371" s="399"/>
      <c r="BP371" s="399"/>
      <c r="BQ371" s="399"/>
      <c r="BR371" s="399"/>
      <c r="BS371" s="399">
        <v>591.1166760000001</v>
      </c>
      <c r="BT371" s="399"/>
      <c r="BU371" s="399"/>
      <c r="BV371" s="399">
        <v>354.07576934867166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323.42240000000004</v>
      </c>
      <c r="CJ371" s="399">
        <v>-46.066331999999932</v>
      </c>
      <c r="CK371" s="399"/>
      <c r="CL371" s="399"/>
      <c r="CM371" s="399"/>
      <c r="CN371" s="399"/>
      <c r="CO371" s="399">
        <v>-182.58077000000003</v>
      </c>
      <c r="CP371" s="399">
        <v>45.200340000000011</v>
      </c>
      <c r="CQ371" s="399">
        <v>30</v>
      </c>
      <c r="CR371" s="399">
        <v>47.086005281449843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6.1822178282618268</v>
      </c>
      <c r="DA371" s="399">
        <v>0</v>
      </c>
      <c r="DB371" s="399">
        <v>0</v>
      </c>
      <c r="DC371" s="399">
        <v>45.199483686638075</v>
      </c>
      <c r="DD371" s="399">
        <v>0</v>
      </c>
      <c r="DE371" s="399">
        <v>0</v>
      </c>
      <c r="DF371" s="399">
        <v>0</v>
      </c>
      <c r="DG371" s="399">
        <v>0.46149855802149453</v>
      </c>
      <c r="DH371" s="399">
        <v>0</v>
      </c>
      <c r="DI371" s="399">
        <v>-4.1304260805548125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-0.49911998274669145</v>
      </c>
      <c r="DP371" s="399">
        <v>-0.12764872817011441</v>
      </c>
      <c r="DQ371" s="399">
        <v>0</v>
      </c>
      <c r="DR371" s="399">
        <v>0</v>
      </c>
      <c r="DS371" s="399"/>
      <c r="DT371" s="399"/>
      <c r="DU371" s="399"/>
      <c r="DV371" s="399">
        <v>420.42384785805342</v>
      </c>
      <c r="DW371" s="399">
        <v>0</v>
      </c>
      <c r="DX371" s="399">
        <v>0</v>
      </c>
      <c r="DY371" s="399">
        <v>-182.58077000000009</v>
      </c>
      <c r="DZ371" s="399">
        <v>45.20034000000004</v>
      </c>
      <c r="EA371" s="399">
        <v>0</v>
      </c>
      <c r="EB371" s="399">
        <v>0</v>
      </c>
      <c r="EC371" s="399">
        <v>-184.47034138872138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216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372</v>
      </c>
      <c r="B372" s="399" t="s">
        <v>954</v>
      </c>
      <c r="C372" s="399" t="s">
        <v>2352</v>
      </c>
      <c r="D372" s="399" t="s">
        <v>2363</v>
      </c>
      <c r="E372" s="399" t="s">
        <v>892</v>
      </c>
      <c r="F372" s="399" t="s">
        <v>2373</v>
      </c>
      <c r="G372" s="399" t="s">
        <v>2371</v>
      </c>
      <c r="H372" s="399" t="s">
        <v>1237</v>
      </c>
      <c r="I372" s="399" t="s">
        <v>1237</v>
      </c>
      <c r="J372" s="399" t="s">
        <v>2353</v>
      </c>
      <c r="K372" s="789">
        <v>44713</v>
      </c>
      <c r="L372" s="399">
        <v>0</v>
      </c>
      <c r="M372" s="399">
        <v>0</v>
      </c>
      <c r="N372" s="399">
        <v>0</v>
      </c>
      <c r="O372" s="399">
        <v>0</v>
      </c>
      <c r="P372" s="399">
        <v>0</v>
      </c>
      <c r="Q372" s="399">
        <v>0</v>
      </c>
      <c r="R372" s="399"/>
      <c r="S372" s="399"/>
      <c r="T372" s="399"/>
      <c r="U372" s="399"/>
      <c r="V372" s="399"/>
      <c r="W372" s="399"/>
      <c r="X372" s="399"/>
      <c r="Y372" s="399"/>
      <c r="Z372" s="399"/>
      <c r="AA372" s="399">
        <v>0</v>
      </c>
      <c r="AB372" s="399"/>
      <c r="AC372" s="399"/>
      <c r="AD372" s="399"/>
      <c r="AE372" s="399"/>
      <c r="AF372" s="399"/>
      <c r="AG372" s="399"/>
      <c r="AH372" s="399"/>
      <c r="AI372" s="399"/>
      <c r="AJ372" s="399"/>
      <c r="AK372" s="399"/>
      <c r="AL372" s="399"/>
      <c r="AM372" s="399"/>
      <c r="AN372" s="399"/>
      <c r="AO372" s="399"/>
      <c r="AP372" s="399"/>
      <c r="AQ372" s="399"/>
      <c r="AR372" s="399"/>
      <c r="AS372" s="399"/>
      <c r="AT372" s="399"/>
      <c r="AU372" s="399"/>
      <c r="AV372" s="399"/>
      <c r="AW372" s="399"/>
      <c r="AX372" s="399"/>
      <c r="AY372" s="399"/>
      <c r="AZ372" s="399">
        <v>0</v>
      </c>
      <c r="BA372" s="399"/>
      <c r="BB372" s="399"/>
      <c r="BC372" s="399"/>
      <c r="BD372" s="399"/>
      <c r="BE372" s="399"/>
      <c r="BF372" s="399"/>
      <c r="BG372" s="399"/>
      <c r="BH372" s="399"/>
      <c r="BI372" s="399">
        <v>0</v>
      </c>
      <c r="BJ372" s="399">
        <v>0</v>
      </c>
      <c r="BK372" s="399">
        <v>55.78</v>
      </c>
      <c r="BL372" s="399">
        <v>3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/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/>
      <c r="CJ372" s="399">
        <v>-0.03</v>
      </c>
      <c r="CK372" s="399"/>
      <c r="CL372" s="399"/>
      <c r="CM372" s="399"/>
      <c r="CN372" s="399"/>
      <c r="CO372" s="399">
        <v>0</v>
      </c>
      <c r="CP372" s="399">
        <v>0</v>
      </c>
      <c r="CQ372" s="399">
        <v>30</v>
      </c>
      <c r="CR372" s="399"/>
      <c r="CS372" s="399"/>
      <c r="CT372" s="399"/>
      <c r="CU372" s="399"/>
      <c r="CV372" s="399"/>
      <c r="CW372" s="399"/>
      <c r="CX372" s="399"/>
      <c r="CY372" s="399"/>
      <c r="CZ372" s="399"/>
      <c r="DA372" s="399"/>
      <c r="DB372" s="399"/>
      <c r="DC372" s="399"/>
      <c r="DD372" s="399"/>
      <c r="DE372" s="399"/>
      <c r="DF372" s="399"/>
      <c r="DG372" s="399"/>
      <c r="DH372" s="399"/>
      <c r="DI372" s="399"/>
      <c r="DJ372" s="399"/>
      <c r="DK372" s="399">
        <v>0</v>
      </c>
      <c r="DL372" s="399"/>
      <c r="DM372" s="399"/>
      <c r="DN372" s="399"/>
      <c r="DO372" s="399"/>
      <c r="DP372" s="399"/>
      <c r="DQ372" s="399"/>
      <c r="DR372" s="399"/>
      <c r="DS372" s="399"/>
      <c r="DT372" s="399"/>
      <c r="DU372" s="399"/>
      <c r="DV372" s="399"/>
      <c r="DW372" s="399"/>
      <c r="DX372" s="399"/>
      <c r="DY372" s="399"/>
      <c r="DZ372" s="399"/>
      <c r="EA372" s="399"/>
      <c r="EB372" s="399"/>
      <c r="EC372" s="399"/>
      <c r="ED372" s="399"/>
      <c r="EE372" s="399"/>
      <c r="EF372" s="399"/>
      <c r="EG372" s="399"/>
      <c r="EH372" s="399"/>
      <c r="EI372" s="399"/>
      <c r="EJ372" s="399"/>
      <c r="EK372" s="399"/>
      <c r="EL372" s="399"/>
      <c r="EM372" s="399"/>
      <c r="EN372" s="399"/>
      <c r="EO372" s="399"/>
      <c r="EP372" s="399"/>
      <c r="EQ372" s="399"/>
      <c r="ER372" s="399"/>
      <c r="ES372" s="399"/>
      <c r="ET372" s="399"/>
      <c r="EU372" s="399"/>
      <c r="EV372" s="399">
        <v>216</v>
      </c>
      <c r="EW372" s="399"/>
      <c r="EX372" s="399"/>
      <c r="EY372" s="399"/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373</v>
      </c>
      <c r="B373" s="399" t="s">
        <v>954</v>
      </c>
      <c r="C373" s="399" t="s">
        <v>2352</v>
      </c>
      <c r="D373" s="399" t="s">
        <v>2363</v>
      </c>
      <c r="E373" s="399" t="s">
        <v>892</v>
      </c>
      <c r="F373" s="399" t="s">
        <v>2373</v>
      </c>
      <c r="G373" s="399" t="s">
        <v>2371</v>
      </c>
      <c r="H373" s="399" t="s">
        <v>1237</v>
      </c>
      <c r="I373" s="399" t="s">
        <v>1237</v>
      </c>
      <c r="J373" s="399" t="s">
        <v>2353</v>
      </c>
      <c r="K373" s="789">
        <v>44713</v>
      </c>
      <c r="L373" s="399">
        <v>0</v>
      </c>
      <c r="M373" s="399">
        <v>0</v>
      </c>
      <c r="N373" s="399">
        <v>0.20899999999999999</v>
      </c>
      <c r="O373" s="399">
        <v>0.20899999999999999</v>
      </c>
      <c r="P373" s="399">
        <v>0.20899999999999999</v>
      </c>
      <c r="Q373" s="399">
        <v>0.20899999999999999</v>
      </c>
      <c r="R373" s="399"/>
      <c r="S373" s="399">
        <v>415.98</v>
      </c>
      <c r="T373" s="399">
        <v>215.17</v>
      </c>
      <c r="U373" s="399"/>
      <c r="V373" s="399">
        <v>131.91034999999999</v>
      </c>
      <c r="W373" s="399">
        <v>131.91034999999999</v>
      </c>
      <c r="X373" s="399">
        <v>114.64485999999999</v>
      </c>
      <c r="Y373" s="399">
        <v>0</v>
      </c>
      <c r="Z373" s="399">
        <v>12.767099001685125</v>
      </c>
      <c r="AA373" s="399">
        <v>0</v>
      </c>
      <c r="AB373" s="399">
        <v>0</v>
      </c>
      <c r="AC373" s="399">
        <v>0</v>
      </c>
      <c r="AD373" s="399">
        <v>18.666955677665879</v>
      </c>
      <c r="AE373" s="399">
        <v>52.83739278552806</v>
      </c>
      <c r="AF373" s="399">
        <v>44.049244955194148</v>
      </c>
      <c r="AG373" s="399">
        <v>0.92105765691015329</v>
      </c>
      <c r="AH373" s="399">
        <v>0</v>
      </c>
      <c r="AI373" s="399">
        <v>0</v>
      </c>
      <c r="AJ373" s="399">
        <v>0</v>
      </c>
      <c r="AK373" s="399">
        <v>0</v>
      </c>
      <c r="AL373" s="399">
        <v>1.972844288694577</v>
      </c>
      <c r="AM373" s="399"/>
      <c r="AN373" s="399">
        <v>0.24607607307764567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0.44975431953367384</v>
      </c>
      <c r="BH373" s="399">
        <v>0</v>
      </c>
      <c r="BI373" s="399">
        <v>0</v>
      </c>
      <c r="BJ373" s="399">
        <v>0</v>
      </c>
      <c r="BK373" s="399">
        <v>0</v>
      </c>
      <c r="BL373" s="399">
        <v>0</v>
      </c>
      <c r="BM373" s="399"/>
      <c r="BN373" s="399"/>
      <c r="BO373" s="399"/>
      <c r="BP373" s="399"/>
      <c r="BQ373" s="399"/>
      <c r="BR373" s="399">
        <v>13.756379999999998</v>
      </c>
      <c r="BS373" s="399"/>
      <c r="BT373" s="399"/>
      <c r="BU373" s="399"/>
      <c r="BV373" s="399">
        <v>44.498999274727822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101.3712</v>
      </c>
      <c r="CJ373" s="399">
        <v>-14.739490000000018</v>
      </c>
      <c r="CK373" s="399"/>
      <c r="CL373" s="399"/>
      <c r="CM373" s="399"/>
      <c r="CN373" s="399"/>
      <c r="CO373" s="399">
        <v>-22.946110000000004</v>
      </c>
      <c r="CP373" s="399">
        <v>5.6806200000000011</v>
      </c>
      <c r="CQ373" s="399">
        <v>30</v>
      </c>
      <c r="CR373" s="399">
        <v>5.9176037906331942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0.77695942640211513</v>
      </c>
      <c r="DA373" s="399">
        <v>0</v>
      </c>
      <c r="DB373" s="399">
        <v>0</v>
      </c>
      <c r="DC373" s="399">
        <v>5.6805123815438137</v>
      </c>
      <c r="DD373" s="399">
        <v>0</v>
      </c>
      <c r="DE373" s="399">
        <v>0</v>
      </c>
      <c r="DF373" s="399">
        <v>0</v>
      </c>
      <c r="DG373" s="399">
        <v>5.7999518115749993E-2</v>
      </c>
      <c r="DH373" s="399">
        <v>0</v>
      </c>
      <c r="DI373" s="399">
        <v>-0.51909744488030896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-6.2727646659085368E-2</v>
      </c>
      <c r="DP373" s="399">
        <v>-1.6042443889088348E-2</v>
      </c>
      <c r="DQ373" s="399">
        <v>0</v>
      </c>
      <c r="DR373" s="399">
        <v>0</v>
      </c>
      <c r="DS373" s="399"/>
      <c r="DT373" s="399"/>
      <c r="DU373" s="399"/>
      <c r="DV373" s="399">
        <v>52.83739278552806</v>
      </c>
      <c r="DW373" s="399">
        <v>0</v>
      </c>
      <c r="DX373" s="399">
        <v>0</v>
      </c>
      <c r="DY373" s="399">
        <v>-22.946109999999997</v>
      </c>
      <c r="DZ373" s="399">
        <v>5.6806199999999976</v>
      </c>
      <c r="EA373" s="399">
        <v>0</v>
      </c>
      <c r="EB373" s="399">
        <v>0</v>
      </c>
      <c r="EC373" s="399">
        <v>-23.183584696477915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216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374</v>
      </c>
      <c r="B374" s="399" t="s">
        <v>954</v>
      </c>
      <c r="C374" s="399" t="s">
        <v>2352</v>
      </c>
      <c r="D374" s="399" t="s">
        <v>2363</v>
      </c>
      <c r="E374" s="399" t="s">
        <v>892</v>
      </c>
      <c r="F374" s="399" t="s">
        <v>2373</v>
      </c>
      <c r="G374" s="399" t="s">
        <v>2372</v>
      </c>
      <c r="H374" s="399" t="s">
        <v>1237</v>
      </c>
      <c r="I374" s="399" t="s">
        <v>1237</v>
      </c>
      <c r="J374" s="399" t="s">
        <v>2353</v>
      </c>
      <c r="K374" s="789">
        <v>44713</v>
      </c>
      <c r="L374" s="399">
        <v>0</v>
      </c>
      <c r="M374" s="399">
        <v>0</v>
      </c>
      <c r="N374" s="399">
        <v>0.53700000000000003</v>
      </c>
      <c r="O374" s="399">
        <v>0.21479999999999999</v>
      </c>
      <c r="P374" s="399">
        <v>0.53700000000000003</v>
      </c>
      <c r="Q374" s="399">
        <v>0.21479999999999999</v>
      </c>
      <c r="R374" s="399"/>
      <c r="S374" s="399">
        <v>415.98</v>
      </c>
      <c r="T374" s="399">
        <v>215.17</v>
      </c>
      <c r="U374" s="399"/>
      <c r="V374" s="399">
        <v>338.92755</v>
      </c>
      <c r="W374" s="399">
        <v>338.92755</v>
      </c>
      <c r="X374" s="399">
        <v>294.56598000000002</v>
      </c>
      <c r="Y374" s="399">
        <v>0</v>
      </c>
      <c r="Z374" s="399">
        <v>32.803503176578531</v>
      </c>
      <c r="AA374" s="399">
        <v>0</v>
      </c>
      <c r="AB374" s="399">
        <v>0</v>
      </c>
      <c r="AC374" s="399">
        <v>0</v>
      </c>
      <c r="AD374" s="399">
        <v>47.962465066538648</v>
      </c>
      <c r="AE374" s="399">
        <v>135.75923409487353</v>
      </c>
      <c r="AF374" s="399">
        <v>113.17916048296297</v>
      </c>
      <c r="AG374" s="399">
        <v>2.366545271582547</v>
      </c>
      <c r="AH374" s="399">
        <v>0</v>
      </c>
      <c r="AI374" s="399">
        <v>0</v>
      </c>
      <c r="AJ374" s="399">
        <v>0</v>
      </c>
      <c r="AK374" s="399">
        <v>0</v>
      </c>
      <c r="AL374" s="399">
        <v>5.0689826939186027</v>
      </c>
      <c r="AM374" s="399"/>
      <c r="AN374" s="399">
        <v>0.6322624461373002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1.1555888497109228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>
        <v>190.87772400000003</v>
      </c>
      <c r="BT374" s="399"/>
      <c r="BU374" s="399"/>
      <c r="BV374" s="399">
        <v>114.33474933267389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101.3712</v>
      </c>
      <c r="CJ374" s="399">
        <v>-17.960868000000005</v>
      </c>
      <c r="CK374" s="399"/>
      <c r="CL374" s="399"/>
      <c r="CM374" s="399"/>
      <c r="CN374" s="399"/>
      <c r="CO374" s="399">
        <v>-58.957230000000017</v>
      </c>
      <c r="CP374" s="399">
        <v>14.595660000000004</v>
      </c>
      <c r="CQ374" s="399">
        <v>30</v>
      </c>
      <c r="CR374" s="399">
        <v>15.204560935741739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1.9963024496551967</v>
      </c>
      <c r="DA374" s="399">
        <v>0</v>
      </c>
      <c r="DB374" s="399">
        <v>0</v>
      </c>
      <c r="DC374" s="399">
        <v>14.595383487507306</v>
      </c>
      <c r="DD374" s="399">
        <v>0</v>
      </c>
      <c r="DE374" s="399">
        <v>0</v>
      </c>
      <c r="DF374" s="399">
        <v>0</v>
      </c>
      <c r="DG374" s="399">
        <v>0.14902268530219032</v>
      </c>
      <c r="DH374" s="399">
        <v>0</v>
      </c>
      <c r="DI374" s="399">
        <v>-1.3337575497642398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-0.16117103471736272</v>
      </c>
      <c r="DP374" s="399">
        <v>-4.1219102241341843E-2</v>
      </c>
      <c r="DQ374" s="399">
        <v>0</v>
      </c>
      <c r="DR374" s="399">
        <v>0</v>
      </c>
      <c r="DS374" s="399"/>
      <c r="DT374" s="399"/>
      <c r="DU374" s="399"/>
      <c r="DV374" s="399">
        <v>135.75923409487353</v>
      </c>
      <c r="DW374" s="399">
        <v>0</v>
      </c>
      <c r="DX374" s="399">
        <v>0</v>
      </c>
      <c r="DY374" s="399">
        <v>-58.95723000000001</v>
      </c>
      <c r="DZ374" s="399">
        <v>14.595660000000009</v>
      </c>
      <c r="EA374" s="399">
        <v>0</v>
      </c>
      <c r="EB374" s="399">
        <v>0</v>
      </c>
      <c r="EC374" s="399">
        <v>-59.567392258414543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216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375</v>
      </c>
      <c r="B375" s="399" t="s">
        <v>954</v>
      </c>
      <c r="C375" s="399" t="s">
        <v>2352</v>
      </c>
      <c r="D375" s="399" t="s">
        <v>1821</v>
      </c>
      <c r="E375" s="399" t="s">
        <v>887</v>
      </c>
      <c r="F375" s="399" t="s">
        <v>887</v>
      </c>
      <c r="G375" s="399" t="s">
        <v>1237</v>
      </c>
      <c r="H375" s="399" t="s">
        <v>1237</v>
      </c>
      <c r="I375" s="399" t="s">
        <v>1237</v>
      </c>
      <c r="J375" s="399" t="s">
        <v>2353</v>
      </c>
      <c r="K375" s="789">
        <v>44743</v>
      </c>
      <c r="L375" s="399">
        <v>0</v>
      </c>
      <c r="M375" s="399">
        <v>0</v>
      </c>
      <c r="N375" s="399">
        <v>482.822</v>
      </c>
      <c r="O375" s="399">
        <v>482.822</v>
      </c>
      <c r="P375" s="399">
        <v>482.822</v>
      </c>
      <c r="Q375" s="399">
        <v>482.822</v>
      </c>
      <c r="R375" s="399"/>
      <c r="S375" s="399">
        <v>415.98</v>
      </c>
      <c r="T375" s="399">
        <v>215.17</v>
      </c>
      <c r="U375" s="399"/>
      <c r="V375" s="399">
        <v>304733.1053</v>
      </c>
      <c r="W375" s="399">
        <v>304733.1053</v>
      </c>
      <c r="X375" s="399">
        <v>264847.17988000001</v>
      </c>
      <c r="Y375" s="399">
        <v>0</v>
      </c>
      <c r="Z375" s="399">
        <v>29493.953465031653</v>
      </c>
      <c r="AA375" s="399">
        <v>0</v>
      </c>
      <c r="AB375" s="399">
        <v>0</v>
      </c>
      <c r="AC375" s="399">
        <v>0</v>
      </c>
      <c r="AD375" s="399">
        <v>43123.525713885145</v>
      </c>
      <c r="AE375" s="399">
        <v>122062.46727030732</v>
      </c>
      <c r="AF375" s="399">
        <v>101760.5002285012</v>
      </c>
      <c r="AG375" s="399">
        <v>2127.7842106443736</v>
      </c>
      <c r="AH375" s="399">
        <v>0</v>
      </c>
      <c r="AI375" s="399">
        <v>0</v>
      </c>
      <c r="AJ375" s="399">
        <v>0</v>
      </c>
      <c r="AK375" s="399">
        <v>0</v>
      </c>
      <c r="AL375" s="399">
        <v>4557.5723691679095</v>
      </c>
      <c r="AM375" s="399"/>
      <c r="AN375" s="399">
        <v>568.47340552868445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1039.0013400281698</v>
      </c>
      <c r="BH375" s="399">
        <v>0</v>
      </c>
      <c r="BI375" s="399">
        <v>0</v>
      </c>
      <c r="BJ375" s="399">
        <v>0</v>
      </c>
      <c r="BK375" s="399">
        <v>41817</v>
      </c>
      <c r="BL375" s="399">
        <v>2843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102799.50156852938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264846.08279999997</v>
      </c>
      <c r="CJ375" s="399">
        <v>-39887.052500000049</v>
      </c>
      <c r="CK375" s="399"/>
      <c r="CL375" s="399"/>
      <c r="CM375" s="399"/>
      <c r="CN375" s="399"/>
      <c r="CO375" s="399">
        <v>-53009.027380000007</v>
      </c>
      <c r="CP375" s="399">
        <v>13123.101960000004</v>
      </c>
      <c r="CQ375" s="399">
        <v>31</v>
      </c>
      <c r="CR375" s="399">
        <v>13670.570800962189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1794.8952352838387</v>
      </c>
      <c r="DA375" s="399">
        <v>0</v>
      </c>
      <c r="DB375" s="399">
        <v>0</v>
      </c>
      <c r="DC375" s="399">
        <v>13122.853344888732</v>
      </c>
      <c r="DD375" s="399">
        <v>0</v>
      </c>
      <c r="DE375" s="399">
        <v>0</v>
      </c>
      <c r="DF375" s="399">
        <v>0</v>
      </c>
      <c r="DG375" s="399">
        <v>133.98776715637632</v>
      </c>
      <c r="DH375" s="399">
        <v>0</v>
      </c>
      <c r="DI375" s="399">
        <v>-1199.1945767081343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-144.91046801546872</v>
      </c>
      <c r="DP375" s="399">
        <v>-37.060501643145471</v>
      </c>
      <c r="DQ375" s="399">
        <v>0</v>
      </c>
      <c r="DR375" s="399">
        <v>0</v>
      </c>
      <c r="DS375" s="399"/>
      <c r="DT375" s="399"/>
      <c r="DU375" s="399"/>
      <c r="DV375" s="399">
        <v>122062.46727030732</v>
      </c>
      <c r="DW375" s="399">
        <v>0</v>
      </c>
      <c r="DX375" s="399">
        <v>0</v>
      </c>
      <c r="DY375" s="399">
        <v>-53009.027379999985</v>
      </c>
      <c r="DZ375" s="399">
        <v>13123.10196</v>
      </c>
      <c r="EA375" s="399">
        <v>0</v>
      </c>
      <c r="EB375" s="399">
        <v>0</v>
      </c>
      <c r="EC375" s="399">
        <v>-53557.630288626126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216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376</v>
      </c>
      <c r="B376" s="399" t="s">
        <v>2355</v>
      </c>
      <c r="C376" s="399" t="s">
        <v>2352</v>
      </c>
      <c r="D376" s="399" t="s">
        <v>1821</v>
      </c>
      <c r="E376" s="399" t="s">
        <v>887</v>
      </c>
      <c r="F376" s="399" t="s">
        <v>887</v>
      </c>
      <c r="G376" s="399" t="s">
        <v>1237</v>
      </c>
      <c r="H376" s="399" t="s">
        <v>1237</v>
      </c>
      <c r="I376" s="399" t="s">
        <v>1237</v>
      </c>
      <c r="J376" s="399" t="s">
        <v>2353</v>
      </c>
      <c r="K376" s="789">
        <v>44743</v>
      </c>
      <c r="L376" s="399">
        <v>0</v>
      </c>
      <c r="M376" s="399">
        <v>0</v>
      </c>
      <c r="N376" s="399">
        <v>3.181</v>
      </c>
      <c r="O376" s="399">
        <v>3.181</v>
      </c>
      <c r="P376" s="399">
        <v>3.181</v>
      </c>
      <c r="Q376" s="399">
        <v>3.181</v>
      </c>
      <c r="R376" s="399"/>
      <c r="S376" s="399">
        <v>415.98</v>
      </c>
      <c r="T376" s="399">
        <v>215.17</v>
      </c>
      <c r="U376" s="399"/>
      <c r="V376" s="399">
        <v>2007.68815</v>
      </c>
      <c r="W376" s="399">
        <v>2007.68815</v>
      </c>
      <c r="X376" s="399">
        <v>1744.9057400000002</v>
      </c>
      <c r="Y376" s="399">
        <v>0</v>
      </c>
      <c r="Z376" s="399">
        <v>194.3164685376095</v>
      </c>
      <c r="AA376" s="399">
        <v>0</v>
      </c>
      <c r="AB376" s="399">
        <v>0</v>
      </c>
      <c r="AC376" s="399">
        <v>0</v>
      </c>
      <c r="AD376" s="399">
        <v>284.11285172562282</v>
      </c>
      <c r="AE376" s="399">
        <v>804.19017440557309</v>
      </c>
      <c r="AF376" s="399">
        <v>670.43372345680666</v>
      </c>
      <c r="AG376" s="399">
        <v>14.018585677661234</v>
      </c>
      <c r="AH376" s="399">
        <v>0</v>
      </c>
      <c r="AI376" s="399">
        <v>0</v>
      </c>
      <c r="AJ376" s="399">
        <v>0</v>
      </c>
      <c r="AK376" s="399">
        <v>0</v>
      </c>
      <c r="AL376" s="399">
        <v>30.026878862858609</v>
      </c>
      <c r="AM376" s="399"/>
      <c r="AN376" s="399">
        <v>3.7453013801913442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6.8453037819933806</v>
      </c>
      <c r="BH376" s="399">
        <v>0</v>
      </c>
      <c r="BI376" s="399">
        <v>0</v>
      </c>
      <c r="BJ376" s="399">
        <v>0</v>
      </c>
      <c r="BK376" s="399">
        <v>571.71</v>
      </c>
      <c r="BL376" s="399">
        <v>20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677.27902723880004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1744.3571999999999</v>
      </c>
      <c r="CJ376" s="399">
        <v>-263.36095</v>
      </c>
      <c r="CK376" s="399"/>
      <c r="CL376" s="399"/>
      <c r="CM376" s="399"/>
      <c r="CN376" s="399"/>
      <c r="CO376" s="399">
        <v>-349.24199000000004</v>
      </c>
      <c r="CP376" s="399">
        <v>86.459580000000017</v>
      </c>
      <c r="CQ376" s="399">
        <v>31</v>
      </c>
      <c r="CR376" s="399">
        <v>90.066495971311724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11.825396820024537</v>
      </c>
      <c r="DA376" s="399">
        <v>0</v>
      </c>
      <c r="DB376" s="399">
        <v>0</v>
      </c>
      <c r="DC376" s="399">
        <v>86.457942036798386</v>
      </c>
      <c r="DD376" s="399">
        <v>0</v>
      </c>
      <c r="DE376" s="399">
        <v>0</v>
      </c>
      <c r="DF376" s="399">
        <v>0</v>
      </c>
      <c r="DG376" s="399">
        <v>0.88275821591483705</v>
      </c>
      <c r="DH376" s="399">
        <v>0</v>
      </c>
      <c r="DI376" s="399">
        <v>-7.9007127854749513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-0.9547207847968906</v>
      </c>
      <c r="DP376" s="399">
        <v>-0.24416753115401901</v>
      </c>
      <c r="DQ376" s="399">
        <v>0</v>
      </c>
      <c r="DR376" s="399">
        <v>0</v>
      </c>
      <c r="DS376" s="399"/>
      <c r="DT376" s="399"/>
      <c r="DU376" s="399"/>
      <c r="DV376" s="399">
        <v>804.19017440557309</v>
      </c>
      <c r="DW376" s="399">
        <v>0</v>
      </c>
      <c r="DX376" s="399">
        <v>0</v>
      </c>
      <c r="DY376" s="399">
        <v>-349.2419900000001</v>
      </c>
      <c r="DZ376" s="399">
        <v>86.459580000000074</v>
      </c>
      <c r="EA376" s="399">
        <v>0</v>
      </c>
      <c r="EB376" s="399">
        <v>0</v>
      </c>
      <c r="EC376" s="399">
        <v>-352.85637760524526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216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377</v>
      </c>
      <c r="B377" s="399" t="s">
        <v>954</v>
      </c>
      <c r="C377" s="399" t="s">
        <v>2352</v>
      </c>
      <c r="D377" s="399" t="s">
        <v>1821</v>
      </c>
      <c r="E377" s="399" t="s">
        <v>887</v>
      </c>
      <c r="F377" s="399" t="s">
        <v>2356</v>
      </c>
      <c r="G377" s="399" t="s">
        <v>1237</v>
      </c>
      <c r="H377" s="399" t="s">
        <v>1237</v>
      </c>
      <c r="I377" s="399" t="s">
        <v>1237</v>
      </c>
      <c r="J377" s="399" t="s">
        <v>2353</v>
      </c>
      <c r="K377" s="789">
        <v>44743</v>
      </c>
      <c r="L377" s="399">
        <v>0</v>
      </c>
      <c r="M377" s="399">
        <v>0</v>
      </c>
      <c r="N377" s="399">
        <v>7.86</v>
      </c>
      <c r="O377" s="399">
        <v>7.86</v>
      </c>
      <c r="P377" s="399">
        <v>7.86</v>
      </c>
      <c r="Q377" s="399">
        <v>7.86</v>
      </c>
      <c r="R377" s="399"/>
      <c r="S377" s="399">
        <v>345.46</v>
      </c>
      <c r="T377" s="399">
        <v>215.17</v>
      </c>
      <c r="U377" s="399"/>
      <c r="V377" s="399">
        <v>4406.5518000000002</v>
      </c>
      <c r="W377" s="399">
        <v>4406.5518000000002</v>
      </c>
      <c r="X377" s="399">
        <v>3779.0880000000002</v>
      </c>
      <c r="Y377" s="399">
        <v>0</v>
      </c>
      <c r="Z377" s="399">
        <v>0</v>
      </c>
      <c r="AA377" s="399">
        <v>0</v>
      </c>
      <c r="AB377" s="399">
        <v>0</v>
      </c>
      <c r="AC377" s="399">
        <v>0</v>
      </c>
      <c r="AD377" s="399">
        <v>702.02043840408521</v>
      </c>
      <c r="AE377" s="399">
        <v>1987.09046552273</v>
      </c>
      <c r="AF377" s="399">
        <v>1656.5888294154356</v>
      </c>
      <c r="AG377" s="399">
        <v>34.638819058917726</v>
      </c>
      <c r="AH377" s="399">
        <v>0</v>
      </c>
      <c r="AI377" s="399">
        <v>0</v>
      </c>
      <c r="AJ377" s="399">
        <v>0</v>
      </c>
      <c r="AK377" s="399">
        <v>0</v>
      </c>
      <c r="AL377" s="399">
        <v>0</v>
      </c>
      <c r="AM377" s="399"/>
      <c r="AN377" s="399">
        <v>9.2543441836856228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16.914205509735297</v>
      </c>
      <c r="BH377" s="399">
        <v>0</v>
      </c>
      <c r="BI377" s="399">
        <v>0</v>
      </c>
      <c r="BJ377" s="399">
        <v>0</v>
      </c>
      <c r="BK377" s="399">
        <v>180.78</v>
      </c>
      <c r="BL377" s="399">
        <v>14</v>
      </c>
      <c r="BM377" s="399"/>
      <c r="BN377" s="399"/>
      <c r="BO377" s="399"/>
      <c r="BP377" s="399"/>
      <c r="BQ377" s="399"/>
      <c r="BR377" s="399"/>
      <c r="BS377" s="399"/>
      <c r="BT377" s="399">
        <v>2456.4072000000001</v>
      </c>
      <c r="BU377" s="399"/>
      <c r="BV377" s="399">
        <v>1673.5030349251708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1322.6808000000001</v>
      </c>
      <c r="CJ377" s="399">
        <v>-219.63840000000005</v>
      </c>
      <c r="CK377" s="399"/>
      <c r="CL377" s="399"/>
      <c r="CM377" s="399"/>
      <c r="CN377" s="399"/>
      <c r="CO377" s="399">
        <v>-841.09859999999992</v>
      </c>
      <c r="CP377" s="399">
        <v>213.63480000000007</v>
      </c>
      <c r="CQ377" s="399">
        <v>31</v>
      </c>
      <c r="CR377" s="399">
        <v>244.42828236304604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29.219622447467145</v>
      </c>
      <c r="DA377" s="399">
        <v>0</v>
      </c>
      <c r="DB377" s="399">
        <v>0</v>
      </c>
      <c r="DC377" s="399">
        <v>213.63075272217407</v>
      </c>
      <c r="DD377" s="399">
        <v>0</v>
      </c>
      <c r="DE377" s="399">
        <v>0</v>
      </c>
      <c r="DF377" s="399">
        <v>0</v>
      </c>
      <c r="DG377" s="399">
        <v>2.1812258966018909</v>
      </c>
      <c r="DH377" s="399">
        <v>0</v>
      </c>
      <c r="DI377" s="399">
        <v>0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0</v>
      </c>
      <c r="DP377" s="399">
        <v>-0.60331870319729397</v>
      </c>
      <c r="DQ377" s="399">
        <v>0</v>
      </c>
      <c r="DR377" s="399">
        <v>0</v>
      </c>
      <c r="DS377" s="399"/>
      <c r="DT377" s="399"/>
      <c r="DU377" s="399"/>
      <c r="DV377" s="399">
        <v>1987.09046552273</v>
      </c>
      <c r="DW377" s="399">
        <v>0</v>
      </c>
      <c r="DX377" s="399">
        <v>0</v>
      </c>
      <c r="DY377" s="399">
        <v>-841.09859999999981</v>
      </c>
      <c r="DZ377" s="399">
        <v>213.63480000000004</v>
      </c>
      <c r="EA377" s="399">
        <v>0</v>
      </c>
      <c r="EB377" s="399">
        <v>0</v>
      </c>
      <c r="EC377" s="399">
        <v>-871.88026657567661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216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378</v>
      </c>
      <c r="B378" s="399" t="s">
        <v>954</v>
      </c>
      <c r="C378" s="399" t="s">
        <v>2352</v>
      </c>
      <c r="D378" s="399" t="s">
        <v>1821</v>
      </c>
      <c r="E378" s="399" t="s">
        <v>887</v>
      </c>
      <c r="F378" s="399" t="s">
        <v>2357</v>
      </c>
      <c r="G378" s="399" t="s">
        <v>1237</v>
      </c>
      <c r="H378" s="399" t="s">
        <v>1237</v>
      </c>
      <c r="I378" s="399" t="s">
        <v>1237</v>
      </c>
      <c r="J378" s="399" t="s">
        <v>2353</v>
      </c>
      <c r="K378" s="789">
        <v>44743</v>
      </c>
      <c r="L378" s="399">
        <v>0</v>
      </c>
      <c r="M378" s="399">
        <v>0</v>
      </c>
      <c r="N378" s="399">
        <v>15.704000000000001</v>
      </c>
      <c r="O378" s="399">
        <v>15.704000000000001</v>
      </c>
      <c r="P378" s="399">
        <v>15.704000000000001</v>
      </c>
      <c r="Q378" s="399">
        <v>15.704000000000001</v>
      </c>
      <c r="R378" s="399"/>
      <c r="S378" s="399">
        <v>345.46</v>
      </c>
      <c r="T378" s="399">
        <v>215.17</v>
      </c>
      <c r="U378" s="399"/>
      <c r="V378" s="399">
        <v>8804.1335199999994</v>
      </c>
      <c r="W378" s="399">
        <v>8804.1335199999994</v>
      </c>
      <c r="X378" s="399">
        <v>7550.4832000000006</v>
      </c>
      <c r="Y378" s="399">
        <v>0</v>
      </c>
      <c r="Z378" s="399">
        <v>0</v>
      </c>
      <c r="AA378" s="399">
        <v>0</v>
      </c>
      <c r="AB378" s="399">
        <v>0</v>
      </c>
      <c r="AC378" s="399">
        <v>0</v>
      </c>
      <c r="AD378" s="399">
        <v>1402.611827569689</v>
      </c>
      <c r="AE378" s="399">
        <v>3970.1359631767118</v>
      </c>
      <c r="AF378" s="399">
        <v>3309.8054678295166</v>
      </c>
      <c r="AG378" s="399">
        <v>69.207126526875825</v>
      </c>
      <c r="AH378" s="399">
        <v>0</v>
      </c>
      <c r="AI378" s="399">
        <v>0</v>
      </c>
      <c r="AJ378" s="399">
        <v>0</v>
      </c>
      <c r="AK378" s="399">
        <v>0</v>
      </c>
      <c r="AL378" s="399">
        <v>0</v>
      </c>
      <c r="AM378" s="399"/>
      <c r="AN378" s="399">
        <v>18.489850007709801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33.793980066779014</v>
      </c>
      <c r="BH378" s="399">
        <v>0</v>
      </c>
      <c r="BI378" s="399">
        <v>0</v>
      </c>
      <c r="BJ378" s="399">
        <v>0</v>
      </c>
      <c r="BK378" s="399">
        <v>617.02</v>
      </c>
      <c r="BL378" s="399">
        <v>59</v>
      </c>
      <c r="BM378" s="399"/>
      <c r="BN378" s="399"/>
      <c r="BO378" s="399"/>
      <c r="BP378" s="399"/>
      <c r="BQ378" s="399"/>
      <c r="BR378" s="399"/>
      <c r="BS378" s="399"/>
      <c r="BT378" s="399">
        <v>3020.19328</v>
      </c>
      <c r="BU378" s="399"/>
      <c r="BV378" s="399">
        <v>3343.5994478962957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4529.1359999999995</v>
      </c>
      <c r="CJ378" s="399">
        <v>-753.24848000000111</v>
      </c>
      <c r="CK378" s="399"/>
      <c r="CL378" s="399"/>
      <c r="CM378" s="399"/>
      <c r="CN378" s="399"/>
      <c r="CO378" s="399">
        <v>-1680.48504</v>
      </c>
      <c r="CP378" s="399">
        <v>426.83472000000012</v>
      </c>
      <c r="CQ378" s="399">
        <v>31</v>
      </c>
      <c r="CR378" s="399">
        <v>488.3590007925286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58.379764747458466</v>
      </c>
      <c r="DA378" s="399">
        <v>0</v>
      </c>
      <c r="DB378" s="399">
        <v>0</v>
      </c>
      <c r="DC378" s="399">
        <v>426.82663368308158</v>
      </c>
      <c r="DD378" s="399">
        <v>0</v>
      </c>
      <c r="DE378" s="399">
        <v>0</v>
      </c>
      <c r="DF378" s="399">
        <v>0</v>
      </c>
      <c r="DG378" s="399">
        <v>4.3580116387068841</v>
      </c>
      <c r="DH378" s="399">
        <v>0</v>
      </c>
      <c r="DI378" s="399">
        <v>0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0</v>
      </c>
      <c r="DP378" s="399">
        <v>-1.2054092767188713</v>
      </c>
      <c r="DQ378" s="399">
        <v>0</v>
      </c>
      <c r="DR378" s="399">
        <v>0</v>
      </c>
      <c r="DS378" s="399"/>
      <c r="DT378" s="399"/>
      <c r="DU378" s="399"/>
      <c r="DV378" s="399">
        <v>3970.1359631767118</v>
      </c>
      <c r="DW378" s="399">
        <v>0</v>
      </c>
      <c r="DX378" s="399">
        <v>0</v>
      </c>
      <c r="DY378" s="399">
        <v>-1680.4850399999996</v>
      </c>
      <c r="DZ378" s="399">
        <v>426.83471999999983</v>
      </c>
      <c r="EA378" s="399">
        <v>0</v>
      </c>
      <c r="EB378" s="399">
        <v>0</v>
      </c>
      <c r="EC378" s="399">
        <v>-1741.9857132702837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216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379</v>
      </c>
      <c r="B379" s="399" t="s">
        <v>954</v>
      </c>
      <c r="C379" s="399" t="s">
        <v>2352</v>
      </c>
      <c r="D379" s="399" t="s">
        <v>1821</v>
      </c>
      <c r="E379" s="399" t="s">
        <v>887</v>
      </c>
      <c r="F379" s="399" t="s">
        <v>2358</v>
      </c>
      <c r="G379" s="399" t="s">
        <v>1237</v>
      </c>
      <c r="H379" s="399" t="s">
        <v>1237</v>
      </c>
      <c r="I379" s="399" t="s">
        <v>1237</v>
      </c>
      <c r="J379" s="399" t="s">
        <v>2353</v>
      </c>
      <c r="K379" s="789">
        <v>44743</v>
      </c>
      <c r="L379" s="399">
        <v>0</v>
      </c>
      <c r="M379" s="399">
        <v>0</v>
      </c>
      <c r="N379" s="399">
        <v>14.917</v>
      </c>
      <c r="O379" s="399">
        <v>14.917</v>
      </c>
      <c r="P379" s="399">
        <v>14.917</v>
      </c>
      <c r="Q379" s="399">
        <v>14.917</v>
      </c>
      <c r="R379" s="399"/>
      <c r="S379" s="399">
        <v>345.46</v>
      </c>
      <c r="T379" s="399">
        <v>215.17</v>
      </c>
      <c r="U379" s="399"/>
      <c r="V379" s="399">
        <v>8362.9177099999997</v>
      </c>
      <c r="W379" s="399">
        <v>8362.9177099999997</v>
      </c>
      <c r="X379" s="399">
        <v>7172.0935999999992</v>
      </c>
      <c r="Y379" s="399">
        <v>0</v>
      </c>
      <c r="Z379" s="399">
        <v>0</v>
      </c>
      <c r="AA379" s="399">
        <v>0</v>
      </c>
      <c r="AB379" s="399">
        <v>0</v>
      </c>
      <c r="AC379" s="399">
        <v>0</v>
      </c>
      <c r="AD379" s="399">
        <v>1332.3204681518753</v>
      </c>
      <c r="AE379" s="399">
        <v>3771.1741061326416</v>
      </c>
      <c r="AF379" s="399">
        <v>3143.9358229503882</v>
      </c>
      <c r="AG379" s="399">
        <v>65.738837646549072</v>
      </c>
      <c r="AH379" s="399">
        <v>0</v>
      </c>
      <c r="AI379" s="399">
        <v>0</v>
      </c>
      <c r="AJ379" s="399">
        <v>0</v>
      </c>
      <c r="AK379" s="399">
        <v>0</v>
      </c>
      <c r="AL379" s="399">
        <v>0</v>
      </c>
      <c r="AM379" s="399"/>
      <c r="AN379" s="399">
        <v>17.563238191862396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32.10040758126226</v>
      </c>
      <c r="BH379" s="399">
        <v>0</v>
      </c>
      <c r="BI379" s="399">
        <v>0</v>
      </c>
      <c r="BJ379" s="399">
        <v>0</v>
      </c>
      <c r="BK379" s="399">
        <v>1080.1300000000001</v>
      </c>
      <c r="BL379" s="399">
        <v>124</v>
      </c>
      <c r="BM379" s="399"/>
      <c r="BN379" s="399"/>
      <c r="BO379" s="399"/>
      <c r="BP379" s="399"/>
      <c r="BQ379" s="399"/>
      <c r="BR379" s="399"/>
      <c r="BS379" s="399"/>
      <c r="BT379" s="399">
        <v>717.35852999999963</v>
      </c>
      <c r="BU379" s="399"/>
      <c r="BV379" s="399">
        <v>3176.0362305316503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6456.0331999999999</v>
      </c>
      <c r="CJ379" s="399">
        <v>-1070.518320000001</v>
      </c>
      <c r="CK379" s="399"/>
      <c r="CL379" s="399"/>
      <c r="CM379" s="399"/>
      <c r="CN379" s="399"/>
      <c r="CO379" s="399">
        <v>-1596.2681699999998</v>
      </c>
      <c r="CP379" s="399">
        <v>405.44406000000009</v>
      </c>
      <c r="CQ379" s="399">
        <v>31</v>
      </c>
      <c r="CR379" s="399">
        <v>463.88507481037595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55.454084993494462</v>
      </c>
      <c r="DA379" s="399">
        <v>0</v>
      </c>
      <c r="DB379" s="399">
        <v>0</v>
      </c>
      <c r="DC379" s="399">
        <v>405.43637892578499</v>
      </c>
      <c r="DD379" s="399">
        <v>0</v>
      </c>
      <c r="DE379" s="399">
        <v>0</v>
      </c>
      <c r="DF379" s="399">
        <v>0</v>
      </c>
      <c r="DG379" s="399">
        <v>4.1396115393906427</v>
      </c>
      <c r="DH379" s="399">
        <v>0</v>
      </c>
      <c r="DI379" s="399">
        <v>0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0</v>
      </c>
      <c r="DP379" s="399">
        <v>-1.1450006482944062</v>
      </c>
      <c r="DQ379" s="399">
        <v>0</v>
      </c>
      <c r="DR379" s="399">
        <v>0</v>
      </c>
      <c r="DS379" s="399"/>
      <c r="DT379" s="399"/>
      <c r="DU379" s="399"/>
      <c r="DV379" s="399">
        <v>3771.1741061326416</v>
      </c>
      <c r="DW379" s="399">
        <v>0</v>
      </c>
      <c r="DX379" s="399">
        <v>0</v>
      </c>
      <c r="DY379" s="399">
        <v>-1596.2681700000003</v>
      </c>
      <c r="DZ379" s="399">
        <v>405.44405999999981</v>
      </c>
      <c r="EA379" s="399">
        <v>0</v>
      </c>
      <c r="EB379" s="399">
        <v>0</v>
      </c>
      <c r="EC379" s="399">
        <v>-1654.6867603701485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216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380</v>
      </c>
      <c r="B380" s="399" t="s">
        <v>954</v>
      </c>
      <c r="C380" s="399" t="s">
        <v>2352</v>
      </c>
      <c r="D380" s="399" t="s">
        <v>1821</v>
      </c>
      <c r="E380" s="399" t="s">
        <v>887</v>
      </c>
      <c r="F380" s="399" t="s">
        <v>2359</v>
      </c>
      <c r="G380" s="399" t="s">
        <v>1237</v>
      </c>
      <c r="H380" s="399" t="s">
        <v>1237</v>
      </c>
      <c r="I380" s="399" t="s">
        <v>1237</v>
      </c>
      <c r="J380" s="399" t="s">
        <v>2353</v>
      </c>
      <c r="K380" s="789">
        <v>44743</v>
      </c>
      <c r="L380" s="399">
        <v>0</v>
      </c>
      <c r="M380" s="399">
        <v>0</v>
      </c>
      <c r="N380" s="399">
        <v>4.8789999999999996</v>
      </c>
      <c r="O380" s="399">
        <v>4.8789999999999996</v>
      </c>
      <c r="P380" s="399">
        <v>4.8789999999999996</v>
      </c>
      <c r="Q380" s="399">
        <v>4.8789999999999996</v>
      </c>
      <c r="R380" s="399"/>
      <c r="S380" s="399">
        <v>345.46</v>
      </c>
      <c r="T380" s="399">
        <v>215.17</v>
      </c>
      <c r="U380" s="399"/>
      <c r="V380" s="399">
        <v>2735.3137699999997</v>
      </c>
      <c r="W380" s="399">
        <v>2735.3137699999997</v>
      </c>
      <c r="X380" s="399">
        <v>2345.8231999999998</v>
      </c>
      <c r="Y380" s="399">
        <v>0</v>
      </c>
      <c r="Z380" s="399">
        <v>0</v>
      </c>
      <c r="AA380" s="399">
        <v>0</v>
      </c>
      <c r="AB380" s="399">
        <v>0</v>
      </c>
      <c r="AC380" s="399">
        <v>0</v>
      </c>
      <c r="AD380" s="399">
        <v>435.77070215948237</v>
      </c>
      <c r="AE380" s="399">
        <v>1233.4623894765139</v>
      </c>
      <c r="AF380" s="399">
        <v>1028.3074934755609</v>
      </c>
      <c r="AG380" s="399">
        <v>21.501628268251853</v>
      </c>
      <c r="AH380" s="399">
        <v>0</v>
      </c>
      <c r="AI380" s="399">
        <v>0</v>
      </c>
      <c r="AJ380" s="399">
        <v>0</v>
      </c>
      <c r="AK380" s="399">
        <v>0</v>
      </c>
      <c r="AL380" s="399">
        <v>0</v>
      </c>
      <c r="AM380" s="399"/>
      <c r="AN380" s="399">
        <v>5.7445222992623597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10.499288636386577</v>
      </c>
      <c r="BH380" s="399">
        <v>0</v>
      </c>
      <c r="BI380" s="399">
        <v>0</v>
      </c>
      <c r="BJ380" s="399">
        <v>0</v>
      </c>
      <c r="BK380" s="399">
        <v>480.7</v>
      </c>
      <c r="BL380" s="399">
        <v>65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1038.8067821119475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2346.3040000000001</v>
      </c>
      <c r="CJ380" s="399">
        <v>-389.03976999999986</v>
      </c>
      <c r="CK380" s="399"/>
      <c r="CL380" s="399"/>
      <c r="CM380" s="399"/>
      <c r="CN380" s="399"/>
      <c r="CO380" s="399">
        <v>-522.10178999999994</v>
      </c>
      <c r="CP380" s="399">
        <v>132.61122000000003</v>
      </c>
      <c r="CQ380" s="399">
        <v>31</v>
      </c>
      <c r="CR380" s="399">
        <v>151.72590199100523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18.137727470889615</v>
      </c>
      <c r="DA380" s="399">
        <v>0</v>
      </c>
      <c r="DB380" s="399">
        <v>0</v>
      </c>
      <c r="DC380" s="399">
        <v>132.60870770120709</v>
      </c>
      <c r="DD380" s="399">
        <v>0</v>
      </c>
      <c r="DE380" s="399">
        <v>0</v>
      </c>
      <c r="DF380" s="399">
        <v>0</v>
      </c>
      <c r="DG380" s="399">
        <v>1.3539696118982985</v>
      </c>
      <c r="DH380" s="399">
        <v>0</v>
      </c>
      <c r="DI380" s="399">
        <v>0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0</v>
      </c>
      <c r="DP380" s="399">
        <v>-0.37450279298977041</v>
      </c>
      <c r="DQ380" s="399">
        <v>0</v>
      </c>
      <c r="DR380" s="399">
        <v>0</v>
      </c>
      <c r="DS380" s="399"/>
      <c r="DT380" s="399"/>
      <c r="DU380" s="399"/>
      <c r="DV380" s="399">
        <v>1233.4623894765139</v>
      </c>
      <c r="DW380" s="399">
        <v>0</v>
      </c>
      <c r="DX380" s="399">
        <v>0</v>
      </c>
      <c r="DY380" s="399">
        <v>-522.10178999999994</v>
      </c>
      <c r="DZ380" s="399">
        <v>132.61122</v>
      </c>
      <c r="EA380" s="399">
        <v>0</v>
      </c>
      <c r="EB380" s="399">
        <v>0</v>
      </c>
      <c r="EC380" s="399">
        <v>-541.20913748380735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216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381</v>
      </c>
      <c r="B381" s="399" t="s">
        <v>954</v>
      </c>
      <c r="C381" s="399" t="s">
        <v>2352</v>
      </c>
      <c r="D381" s="399" t="s">
        <v>1824</v>
      </c>
      <c r="E381" s="399" t="s">
        <v>888</v>
      </c>
      <c r="F381" s="399" t="s">
        <v>1237</v>
      </c>
      <c r="G381" s="399" t="s">
        <v>1237</v>
      </c>
      <c r="H381" s="399" t="s">
        <v>1237</v>
      </c>
      <c r="I381" s="399" t="s">
        <v>1237</v>
      </c>
      <c r="J381" s="399" t="s">
        <v>2353</v>
      </c>
      <c r="K381" s="789">
        <v>44743</v>
      </c>
      <c r="L381" s="399">
        <v>0</v>
      </c>
      <c r="M381" s="399">
        <v>0</v>
      </c>
      <c r="N381" s="399">
        <v>23.27</v>
      </c>
      <c r="O381" s="399">
        <v>23.27</v>
      </c>
      <c r="P381" s="399">
        <v>23.27</v>
      </c>
      <c r="Q381" s="399">
        <v>23.27</v>
      </c>
      <c r="R381" s="399"/>
      <c r="S381" s="399">
        <v>415.98</v>
      </c>
      <c r="T381" s="399">
        <v>215.17</v>
      </c>
      <c r="U381" s="399"/>
      <c r="V381" s="399">
        <v>14686.860499999999</v>
      </c>
      <c r="W381" s="399">
        <v>14686.860499999999</v>
      </c>
      <c r="X381" s="399">
        <v>12764.525799999999</v>
      </c>
      <c r="Y381" s="399">
        <v>0</v>
      </c>
      <c r="Z381" s="399">
        <v>1421.4851376517361</v>
      </c>
      <c r="AA381" s="399">
        <v>0</v>
      </c>
      <c r="AB381" s="399">
        <v>0</v>
      </c>
      <c r="AC381" s="399">
        <v>0</v>
      </c>
      <c r="AD381" s="399">
        <v>2078.3734862166748</v>
      </c>
      <c r="AE381" s="399">
        <v>5882.9001441111868</v>
      </c>
      <c r="AF381" s="399">
        <v>4904.4302875950616</v>
      </c>
      <c r="AG381" s="399">
        <v>102.55029510191036</v>
      </c>
      <c r="AH381" s="399">
        <v>0</v>
      </c>
      <c r="AI381" s="399">
        <v>0</v>
      </c>
      <c r="AJ381" s="399">
        <v>0</v>
      </c>
      <c r="AK381" s="399">
        <v>0</v>
      </c>
      <c r="AL381" s="399">
        <v>219.65591673647276</v>
      </c>
      <c r="AM381" s="399"/>
      <c r="AN381" s="399">
        <v>27.398039332616342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50.075516820806655</v>
      </c>
      <c r="BH381" s="399">
        <v>0</v>
      </c>
      <c r="BI381" s="399">
        <v>0</v>
      </c>
      <c r="BJ381" s="399">
        <v>0</v>
      </c>
      <c r="BK381" s="399">
        <v>2614.37</v>
      </c>
      <c r="BL381" s="399">
        <v>42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4954.5058044158686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12764.525799999999</v>
      </c>
      <c r="CJ381" s="399">
        <v>-1922.3647000000001</v>
      </c>
      <c r="CK381" s="399"/>
      <c r="CL381" s="399"/>
      <c r="CM381" s="399"/>
      <c r="CN381" s="399"/>
      <c r="CO381" s="399">
        <v>-2554.8133000000003</v>
      </c>
      <c r="CP381" s="399">
        <v>632.47860000000014</v>
      </c>
      <c r="CQ381" s="399">
        <v>31</v>
      </c>
      <c r="CR381" s="399">
        <v>658.86430721547731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86.506439485058308</v>
      </c>
      <c r="DA381" s="399">
        <v>0</v>
      </c>
      <c r="DB381" s="399">
        <v>0</v>
      </c>
      <c r="DC381" s="399">
        <v>632.46661779198348</v>
      </c>
      <c r="DD381" s="399">
        <v>0</v>
      </c>
      <c r="DE381" s="399">
        <v>0</v>
      </c>
      <c r="DF381" s="399">
        <v>0</v>
      </c>
      <c r="DG381" s="399">
        <v>6.4576496964282413</v>
      </c>
      <c r="DH381" s="399">
        <v>0</v>
      </c>
      <c r="DI381" s="399">
        <v>-57.79616048978346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-6.9840781710857414</v>
      </c>
      <c r="DP381" s="399">
        <v>-1.7861610971248147</v>
      </c>
      <c r="DQ381" s="399">
        <v>0</v>
      </c>
      <c r="DR381" s="399">
        <v>0</v>
      </c>
      <c r="DS381" s="399"/>
      <c r="DT381" s="399"/>
      <c r="DU381" s="399"/>
      <c r="DV381" s="399">
        <v>5882.9001441111868</v>
      </c>
      <c r="DW381" s="399">
        <v>0</v>
      </c>
      <c r="DX381" s="399">
        <v>0</v>
      </c>
      <c r="DY381" s="399">
        <v>-2554.8133000000007</v>
      </c>
      <c r="DZ381" s="399">
        <v>632.47860000000037</v>
      </c>
      <c r="EA381" s="399">
        <v>0</v>
      </c>
      <c r="EB381" s="399">
        <v>0</v>
      </c>
      <c r="EC381" s="399">
        <v>-2581.2536645312971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216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382</v>
      </c>
      <c r="B382" s="399" t="s">
        <v>2355</v>
      </c>
      <c r="C382" s="399" t="s">
        <v>2352</v>
      </c>
      <c r="D382" s="399" t="s">
        <v>1824</v>
      </c>
      <c r="E382" s="399" t="s">
        <v>888</v>
      </c>
      <c r="F382" s="399" t="s">
        <v>1237</v>
      </c>
      <c r="G382" s="399" t="s">
        <v>1237</v>
      </c>
      <c r="H382" s="399" t="s">
        <v>1237</v>
      </c>
      <c r="I382" s="399" t="s">
        <v>1237</v>
      </c>
      <c r="J382" s="399" t="s">
        <v>2353</v>
      </c>
      <c r="K382" s="789">
        <v>44743</v>
      </c>
      <c r="L382" s="399">
        <v>0</v>
      </c>
      <c r="M382" s="399">
        <v>0</v>
      </c>
      <c r="N382" s="399">
        <v>2.7879999999999998</v>
      </c>
      <c r="O382" s="399">
        <v>2.7879999999999998</v>
      </c>
      <c r="P382" s="399">
        <v>2.7879999999999998</v>
      </c>
      <c r="Q382" s="399">
        <v>2.7879999999999998</v>
      </c>
      <c r="R382" s="399"/>
      <c r="S382" s="399">
        <v>415.98</v>
      </c>
      <c r="T382" s="399">
        <v>215.17</v>
      </c>
      <c r="U382" s="399"/>
      <c r="V382" s="399">
        <v>1759.6461999999999</v>
      </c>
      <c r="W382" s="399">
        <v>1759.6461999999999</v>
      </c>
      <c r="X382" s="399">
        <v>1529.3295199999998</v>
      </c>
      <c r="Y382" s="399">
        <v>0</v>
      </c>
      <c r="Z382" s="399">
        <v>170.30943548659391</v>
      </c>
      <c r="AA382" s="399">
        <v>0</v>
      </c>
      <c r="AB382" s="399">
        <v>0</v>
      </c>
      <c r="AC382" s="399">
        <v>0</v>
      </c>
      <c r="AD382" s="399">
        <v>249.0118298054185</v>
      </c>
      <c r="AE382" s="399">
        <v>704.83565112943654</v>
      </c>
      <c r="AF382" s="399">
        <v>587.60428198603483</v>
      </c>
      <c r="AG382" s="399">
        <v>12.286644724715346</v>
      </c>
      <c r="AH382" s="399">
        <v>0</v>
      </c>
      <c r="AI382" s="399">
        <v>0</v>
      </c>
      <c r="AJ382" s="399">
        <v>0</v>
      </c>
      <c r="AK382" s="399">
        <v>0</v>
      </c>
      <c r="AL382" s="399">
        <v>26.317176444404211</v>
      </c>
      <c r="AM382" s="399"/>
      <c r="AN382" s="399">
        <v>3.2825841710070631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5.9995935065066153</v>
      </c>
      <c r="BH382" s="399">
        <v>0</v>
      </c>
      <c r="BI382" s="399">
        <v>0</v>
      </c>
      <c r="BJ382" s="399">
        <v>0</v>
      </c>
      <c r="BK382" s="399">
        <v>858.72</v>
      </c>
      <c r="BL382" s="399">
        <v>3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593.60387549254142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1530.4265999999998</v>
      </c>
      <c r="CJ382" s="399">
        <v>-229.2496000000001</v>
      </c>
      <c r="CK382" s="399"/>
      <c r="CL382" s="399"/>
      <c r="CM382" s="399"/>
      <c r="CN382" s="399"/>
      <c r="CO382" s="399">
        <v>-306.09452000000005</v>
      </c>
      <c r="CP382" s="399">
        <v>75.777840000000012</v>
      </c>
      <c r="CQ382" s="399">
        <v>31</v>
      </c>
      <c r="CR382" s="399">
        <v>78.939135733422745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10.364415697651197</v>
      </c>
      <c r="DA382" s="399">
        <v>0</v>
      </c>
      <c r="DB382" s="399">
        <v>0</v>
      </c>
      <c r="DC382" s="399">
        <v>75.776404400689671</v>
      </c>
      <c r="DD382" s="399">
        <v>0</v>
      </c>
      <c r="DE382" s="399">
        <v>0</v>
      </c>
      <c r="DF382" s="399">
        <v>0</v>
      </c>
      <c r="DG382" s="399">
        <v>0.77369692108474197</v>
      </c>
      <c r="DH382" s="399">
        <v>0</v>
      </c>
      <c r="DI382" s="399">
        <v>-6.9246108915133959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-0.83676879849535624</v>
      </c>
      <c r="DP382" s="399">
        <v>-0.21400159599415458</v>
      </c>
      <c r="DQ382" s="399">
        <v>0</v>
      </c>
      <c r="DR382" s="399">
        <v>0</v>
      </c>
      <c r="DS382" s="399"/>
      <c r="DT382" s="399"/>
      <c r="DU382" s="399"/>
      <c r="DV382" s="399">
        <v>704.83565112943654</v>
      </c>
      <c r="DW382" s="399">
        <v>0</v>
      </c>
      <c r="DX382" s="399">
        <v>0</v>
      </c>
      <c r="DY382" s="399">
        <v>-306.0945200000001</v>
      </c>
      <c r="DZ382" s="399">
        <v>75.777840000000083</v>
      </c>
      <c r="EA382" s="399">
        <v>0</v>
      </c>
      <c r="EB382" s="399">
        <v>0</v>
      </c>
      <c r="EC382" s="399">
        <v>-309.26236427646143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216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383</v>
      </c>
      <c r="B383" s="399" t="s">
        <v>954</v>
      </c>
      <c r="C383" s="399" t="s">
        <v>2360</v>
      </c>
      <c r="D383" s="399" t="s">
        <v>533</v>
      </c>
      <c r="E383" s="399" t="s">
        <v>888</v>
      </c>
      <c r="F383" s="399" t="s">
        <v>1237</v>
      </c>
      <c r="G383" s="399" t="s">
        <v>1237</v>
      </c>
      <c r="H383" s="399" t="s">
        <v>1237</v>
      </c>
      <c r="I383" s="399" t="s">
        <v>891</v>
      </c>
      <c r="J383" s="399" t="s">
        <v>2353</v>
      </c>
      <c r="K383" s="789">
        <v>44743</v>
      </c>
      <c r="L383" s="399">
        <v>0</v>
      </c>
      <c r="M383" s="399">
        <v>0</v>
      </c>
      <c r="N383" s="399">
        <v>114.94499999999999</v>
      </c>
      <c r="O383" s="399">
        <v>114.94499999999999</v>
      </c>
      <c r="P383" s="399">
        <v>114.94499999999999</v>
      </c>
      <c r="Q383" s="399">
        <v>114.94499999999999</v>
      </c>
      <c r="R383" s="399"/>
      <c r="S383" s="399">
        <v>2184.0300000000002</v>
      </c>
      <c r="T383" s="399">
        <v>215.17</v>
      </c>
      <c r="U383" s="399"/>
      <c r="V383" s="399">
        <v>275776.04399999999</v>
      </c>
      <c r="W383" s="399">
        <v>275776.04399999999</v>
      </c>
      <c r="X383" s="399">
        <v>208095.27854999999</v>
      </c>
      <c r="Y383" s="399">
        <v>0</v>
      </c>
      <c r="Z383" s="399">
        <v>6108.7911456046149</v>
      </c>
      <c r="AA383" s="399">
        <v>0</v>
      </c>
      <c r="AB383" s="399">
        <v>0</v>
      </c>
      <c r="AC383" s="399">
        <v>0</v>
      </c>
      <c r="AD383" s="399">
        <v>75748.095922972905</v>
      </c>
      <c r="AE383" s="399">
        <v>167926.37770506501</v>
      </c>
      <c r="AF383" s="399">
        <v>24226.03091566886</v>
      </c>
      <c r="AG383" s="399">
        <v>506.55967642840943</v>
      </c>
      <c r="AH383" s="399">
        <v>0</v>
      </c>
      <c r="AI383" s="399">
        <v>0</v>
      </c>
      <c r="AJ383" s="399">
        <v>0</v>
      </c>
      <c r="AK383" s="399">
        <v>0</v>
      </c>
      <c r="AL383" s="399">
        <v>1085.0171615502302</v>
      </c>
      <c r="AM383" s="399"/>
      <c r="AN383" s="399">
        <v>79.297411308269957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95.502177308285809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24321.533092977144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208104.33050000001</v>
      </c>
      <c r="CJ383" s="399">
        <v>-67671.743500000011</v>
      </c>
      <c r="CK383" s="399"/>
      <c r="CL383" s="399"/>
      <c r="CM383" s="399"/>
      <c r="CN383" s="399"/>
      <c r="CO383" s="399">
        <v>-70804.970550000027</v>
      </c>
      <c r="CP383" s="399">
        <v>3124.2051000000006</v>
      </c>
      <c r="CQ383" s="399">
        <v>31</v>
      </c>
      <c r="CR383" s="399">
        <v>6001.2170710000646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3152.8010338493623</v>
      </c>
      <c r="DA383" s="399">
        <v>0</v>
      </c>
      <c r="DB383" s="399">
        <v>0</v>
      </c>
      <c r="DC383" s="399">
        <v>3124.1459124236972</v>
      </c>
      <c r="DD383" s="399">
        <v>0</v>
      </c>
      <c r="DE383" s="399">
        <v>0</v>
      </c>
      <c r="DF383" s="399">
        <v>0</v>
      </c>
      <c r="DG383" s="399">
        <v>12.315791138212376</v>
      </c>
      <c r="DH383" s="399">
        <v>0</v>
      </c>
      <c r="DI383" s="399">
        <v>-248.37732319394945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-34.498705001093413</v>
      </c>
      <c r="DP383" s="399">
        <v>-5.169638216152606</v>
      </c>
      <c r="DQ383" s="399">
        <v>0</v>
      </c>
      <c r="DR383" s="399">
        <v>0</v>
      </c>
      <c r="DS383" s="399"/>
      <c r="DT383" s="399"/>
      <c r="DU383" s="399"/>
      <c r="DV383" s="399">
        <v>167926.37770506501</v>
      </c>
      <c r="DW383" s="399">
        <v>0</v>
      </c>
      <c r="DX383" s="399">
        <v>0</v>
      </c>
      <c r="DY383" s="399">
        <v>-70804.970549999998</v>
      </c>
      <c r="DZ383" s="399">
        <v>3124.2050999999992</v>
      </c>
      <c r="EA383" s="399">
        <v>0</v>
      </c>
      <c r="EB383" s="399">
        <v>0</v>
      </c>
      <c r="EC383" s="399">
        <v>-73681.444050442005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216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384</v>
      </c>
      <c r="B384" s="399" t="s">
        <v>954</v>
      </c>
      <c r="C384" s="399" t="s">
        <v>2360</v>
      </c>
      <c r="D384" s="399" t="s">
        <v>533</v>
      </c>
      <c r="E384" s="399" t="s">
        <v>888</v>
      </c>
      <c r="F384" s="399" t="s">
        <v>1237</v>
      </c>
      <c r="G384" s="399" t="s">
        <v>1237</v>
      </c>
      <c r="H384" s="399" t="s">
        <v>1237</v>
      </c>
      <c r="I384" s="399" t="s">
        <v>2327</v>
      </c>
      <c r="J384" s="399" t="s">
        <v>2353</v>
      </c>
      <c r="K384" s="789">
        <v>44743</v>
      </c>
      <c r="L384" s="399">
        <v>0</v>
      </c>
      <c r="M384" s="399">
        <v>0</v>
      </c>
      <c r="N384" s="399">
        <v>1986.702</v>
      </c>
      <c r="O384" s="399">
        <v>1986.702</v>
      </c>
      <c r="P384" s="399">
        <v>1986.702</v>
      </c>
      <c r="Q384" s="399">
        <v>1986.702</v>
      </c>
      <c r="R384" s="399"/>
      <c r="S384" s="399">
        <v>64.11</v>
      </c>
      <c r="T384" s="399">
        <v>215.17</v>
      </c>
      <c r="U384" s="399"/>
      <c r="V384" s="399">
        <v>554846.13455999992</v>
      </c>
      <c r="W384" s="399">
        <v>554846.13455999992</v>
      </c>
      <c r="X384" s="399">
        <v>604076.61011999997</v>
      </c>
      <c r="Y384" s="399">
        <v>0</v>
      </c>
      <c r="Z384" s="399">
        <v>105583.95394801845</v>
      </c>
      <c r="AA384" s="399">
        <v>0</v>
      </c>
      <c r="AB384" s="399">
        <v>0</v>
      </c>
      <c r="AC384" s="399">
        <v>0</v>
      </c>
      <c r="AD384" s="399">
        <v>0</v>
      </c>
      <c r="AE384" s="399">
        <v>0</v>
      </c>
      <c r="AF384" s="399">
        <v>418721.16292332119</v>
      </c>
      <c r="AG384" s="399">
        <v>8755.3449239172987</v>
      </c>
      <c r="AH384" s="399">
        <v>0</v>
      </c>
      <c r="AI384" s="399">
        <v>0</v>
      </c>
      <c r="AJ384" s="399">
        <v>0</v>
      </c>
      <c r="AK384" s="399">
        <v>0</v>
      </c>
      <c r="AL384" s="399">
        <v>18753.366957120063</v>
      </c>
      <c r="AM384" s="399"/>
      <c r="AN384" s="399">
        <v>1370.5713657920096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1650.653500915447</v>
      </c>
      <c r="BH384" s="399">
        <v>0</v>
      </c>
      <c r="BI384" s="399">
        <v>0</v>
      </c>
      <c r="BJ384" s="399">
        <v>0</v>
      </c>
      <c r="BK384" s="399">
        <v>0</v>
      </c>
      <c r="BL384" s="399">
        <v>0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420371.81642423663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604076.00199999998</v>
      </c>
      <c r="CJ384" s="399">
        <v>49229.837440000032</v>
      </c>
      <c r="CK384" s="399"/>
      <c r="CL384" s="399"/>
      <c r="CM384" s="399"/>
      <c r="CN384" s="399"/>
      <c r="CO384" s="399">
        <v>-4768.0847999999969</v>
      </c>
      <c r="CP384" s="399">
        <v>53998.56036000001</v>
      </c>
      <c r="CQ384" s="399">
        <v>31</v>
      </c>
      <c r="CR384" s="399">
        <v>49231.839904644992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0</v>
      </c>
      <c r="DA384" s="399">
        <v>0</v>
      </c>
      <c r="DB384" s="399">
        <v>0</v>
      </c>
      <c r="DC384" s="399">
        <v>53997.537365731376</v>
      </c>
      <c r="DD384" s="399">
        <v>0</v>
      </c>
      <c r="DE384" s="399">
        <v>0</v>
      </c>
      <c r="DF384" s="399">
        <v>0</v>
      </c>
      <c r="DG384" s="399">
        <v>212.86534330217751</v>
      </c>
      <c r="DH384" s="399">
        <v>0</v>
      </c>
      <c r="DI384" s="399">
        <v>-4292.9377071126655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-596.27340226266824</v>
      </c>
      <c r="DP384" s="399">
        <v>-89.351695013326662</v>
      </c>
      <c r="DQ384" s="399">
        <v>0</v>
      </c>
      <c r="DR384" s="399">
        <v>0</v>
      </c>
      <c r="DS384" s="399"/>
      <c r="DT384" s="399"/>
      <c r="DU384" s="399"/>
      <c r="DV384" s="399">
        <v>0</v>
      </c>
      <c r="DW384" s="399">
        <v>0</v>
      </c>
      <c r="DX384" s="399">
        <v>0</v>
      </c>
      <c r="DY384" s="399">
        <v>-4768.0847999999969</v>
      </c>
      <c r="DZ384" s="399">
        <v>53998.560360000003</v>
      </c>
      <c r="EA384" s="399">
        <v>0</v>
      </c>
      <c r="EB384" s="399">
        <v>0</v>
      </c>
      <c r="EC384" s="399">
        <v>0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216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385</v>
      </c>
      <c r="B385" s="399" t="s">
        <v>954</v>
      </c>
      <c r="C385" s="399" t="s">
        <v>2360</v>
      </c>
      <c r="D385" s="399" t="s">
        <v>533</v>
      </c>
      <c r="E385" s="399" t="s">
        <v>888</v>
      </c>
      <c r="F385" s="399" t="s">
        <v>1237</v>
      </c>
      <c r="G385" s="399" t="s">
        <v>1237</v>
      </c>
      <c r="H385" s="399" t="s">
        <v>1237</v>
      </c>
      <c r="I385" s="399" t="s">
        <v>1237</v>
      </c>
      <c r="J385" s="399" t="s">
        <v>2353</v>
      </c>
      <c r="K385" s="789">
        <v>44743</v>
      </c>
      <c r="L385" s="399">
        <v>6303</v>
      </c>
      <c r="M385" s="399">
        <v>6303</v>
      </c>
      <c r="N385" s="399">
        <v>0</v>
      </c>
      <c r="O385" s="399">
        <v>0</v>
      </c>
      <c r="P385" s="399">
        <v>0</v>
      </c>
      <c r="Q385" s="399">
        <v>0</v>
      </c>
      <c r="R385" s="399">
        <v>28.04</v>
      </c>
      <c r="S385" s="399"/>
      <c r="T385" s="399"/>
      <c r="U385" s="399">
        <v>176736.12</v>
      </c>
      <c r="V385" s="399"/>
      <c r="W385" s="399">
        <v>176736.12</v>
      </c>
      <c r="X385" s="399">
        <v>132741.18</v>
      </c>
      <c r="Y385" s="399">
        <v>0</v>
      </c>
      <c r="Z385" s="399">
        <v>0</v>
      </c>
      <c r="AA385" s="399">
        <v>0</v>
      </c>
      <c r="AB385" s="399">
        <v>0</v>
      </c>
      <c r="AC385" s="399">
        <v>0</v>
      </c>
      <c r="AD385" s="399">
        <v>69778.479617560602</v>
      </c>
      <c r="AE385" s="399">
        <v>106989.01227150518</v>
      </c>
      <c r="AF385" s="399"/>
      <c r="AG385" s="399"/>
      <c r="AH385" s="399"/>
      <c r="AI385" s="399">
        <v>0</v>
      </c>
      <c r="AJ385" s="399">
        <v>0</v>
      </c>
      <c r="AK385" s="399">
        <v>0</v>
      </c>
      <c r="AL385" s="399">
        <v>0</v>
      </c>
      <c r="AM385" s="399"/>
      <c r="AN385" s="399">
        <v>0</v>
      </c>
      <c r="AO385" s="399">
        <v>0</v>
      </c>
      <c r="AP385" s="399">
        <v>0</v>
      </c>
      <c r="AQ385" s="399">
        <v>0</v>
      </c>
      <c r="AR385" s="399">
        <v>0</v>
      </c>
      <c r="AS385" s="399"/>
      <c r="AT385" s="399"/>
      <c r="AU385" s="399">
        <v>0</v>
      </c>
      <c r="AV385" s="399">
        <v>0</v>
      </c>
      <c r="AW385" s="399">
        <v>0</v>
      </c>
      <c r="AX385" s="399"/>
      <c r="AY385" s="399"/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/>
      <c r="BG385" s="399">
        <v>0</v>
      </c>
      <c r="BH385" s="399">
        <v>0</v>
      </c>
      <c r="BI385" s="399">
        <v>0</v>
      </c>
      <c r="BJ385" s="399">
        <v>0</v>
      </c>
      <c r="BK385" s="399">
        <v>178001.8</v>
      </c>
      <c r="BL385" s="399">
        <v>16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0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132741.18</v>
      </c>
      <c r="CJ385" s="399">
        <v>-43994.97000000003</v>
      </c>
      <c r="CK385" s="399"/>
      <c r="CL385" s="399"/>
      <c r="CM385" s="399"/>
      <c r="CN385" s="399"/>
      <c r="CO385" s="399">
        <v>-43994.94</v>
      </c>
      <c r="CP385" s="399">
        <v>0</v>
      </c>
      <c r="CQ385" s="399">
        <v>31</v>
      </c>
      <c r="CR385" s="399">
        <v>2904.3325775788398</v>
      </c>
      <c r="CS385" s="399">
        <v>0</v>
      </c>
      <c r="CT385" s="399">
        <v>0</v>
      </c>
      <c r="CU385" s="399">
        <v>0</v>
      </c>
      <c r="CV385" s="399">
        <v>0</v>
      </c>
      <c r="CW385" s="399"/>
      <c r="CX385" s="399"/>
      <c r="CY385" s="399"/>
      <c r="CZ385" s="399">
        <v>2904.3325775788398</v>
      </c>
      <c r="DA385" s="399">
        <v>0</v>
      </c>
      <c r="DB385" s="399">
        <v>0</v>
      </c>
      <c r="DC385" s="399"/>
      <c r="DD385" s="399"/>
      <c r="DE385" s="399">
        <v>0</v>
      </c>
      <c r="DF385" s="399">
        <v>0</v>
      </c>
      <c r="DG385" s="399">
        <v>0</v>
      </c>
      <c r="DH385" s="399">
        <v>0</v>
      </c>
      <c r="DI385" s="399">
        <v>0</v>
      </c>
      <c r="DJ385" s="399"/>
      <c r="DK385" s="399">
        <v>0</v>
      </c>
      <c r="DL385" s="399">
        <v>0</v>
      </c>
      <c r="DM385" s="399"/>
      <c r="DN385" s="399">
        <v>0</v>
      </c>
      <c r="DO385" s="399">
        <v>0</v>
      </c>
      <c r="DP385" s="399">
        <v>0</v>
      </c>
      <c r="DQ385" s="399">
        <v>0</v>
      </c>
      <c r="DR385" s="399">
        <v>0</v>
      </c>
      <c r="DS385" s="399"/>
      <c r="DT385" s="399"/>
      <c r="DU385" s="399">
        <v>106989.01227150518</v>
      </c>
      <c r="DV385" s="399"/>
      <c r="DW385" s="399">
        <v>0</v>
      </c>
      <c r="DX385" s="399">
        <v>0</v>
      </c>
      <c r="DY385" s="399">
        <v>-43994.94</v>
      </c>
      <c r="DZ385" s="399"/>
      <c r="EA385" s="399">
        <v>0</v>
      </c>
      <c r="EB385" s="399"/>
      <c r="EC385" s="399">
        <v>-46943.815673439582</v>
      </c>
      <c r="ED385" s="399"/>
      <c r="EE385" s="399">
        <v>0</v>
      </c>
      <c r="EF385" s="399">
        <v>0</v>
      </c>
      <c r="EG385" s="399"/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/>
      <c r="EN385" s="399"/>
      <c r="EO385" s="399">
        <v>0</v>
      </c>
      <c r="EP385" s="399">
        <v>0</v>
      </c>
      <c r="EQ385" s="399"/>
      <c r="ER385" s="399">
        <v>0</v>
      </c>
      <c r="ES385" s="399"/>
      <c r="ET385" s="399">
        <v>0</v>
      </c>
      <c r="EU385" s="399"/>
      <c r="EV385" s="399">
        <v>216</v>
      </c>
      <c r="EW385" s="399"/>
      <c r="EX385" s="399"/>
      <c r="EY385" s="399"/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386</v>
      </c>
      <c r="B386" s="399" t="s">
        <v>2354</v>
      </c>
      <c r="C386" s="399" t="s">
        <v>2360</v>
      </c>
      <c r="D386" s="399" t="s">
        <v>533</v>
      </c>
      <c r="E386" s="399" t="s">
        <v>888</v>
      </c>
      <c r="F386" s="399" t="s">
        <v>1237</v>
      </c>
      <c r="G386" s="399" t="s">
        <v>1237</v>
      </c>
      <c r="H386" s="399" t="s">
        <v>1237</v>
      </c>
      <c r="I386" s="399" t="s">
        <v>1237</v>
      </c>
      <c r="J386" s="399" t="s">
        <v>2353</v>
      </c>
      <c r="K386" s="789">
        <v>44743</v>
      </c>
      <c r="L386" s="399">
        <v>0</v>
      </c>
      <c r="M386" s="399">
        <v>0</v>
      </c>
      <c r="N386" s="399">
        <v>0</v>
      </c>
      <c r="O386" s="399">
        <v>0</v>
      </c>
      <c r="P386" s="399">
        <v>0</v>
      </c>
      <c r="Q386" s="399">
        <v>0</v>
      </c>
      <c r="R386" s="399"/>
      <c r="S386" s="399"/>
      <c r="T386" s="399"/>
      <c r="U386" s="399"/>
      <c r="V386" s="399"/>
      <c r="W386" s="399"/>
      <c r="X386" s="399"/>
      <c r="Y386" s="399"/>
      <c r="Z386" s="399"/>
      <c r="AA386" s="399">
        <v>0</v>
      </c>
      <c r="AB386" s="399"/>
      <c r="AC386" s="399"/>
      <c r="AD386" s="399"/>
      <c r="AE386" s="399"/>
      <c r="AF386" s="399"/>
      <c r="AG386" s="399"/>
      <c r="AH386" s="399"/>
      <c r="AI386" s="399"/>
      <c r="AJ386" s="399"/>
      <c r="AK386" s="399"/>
      <c r="AL386" s="399"/>
      <c r="AM386" s="399"/>
      <c r="AN386" s="399"/>
      <c r="AO386" s="399"/>
      <c r="AP386" s="399"/>
      <c r="AQ386" s="399"/>
      <c r="AR386" s="399"/>
      <c r="AS386" s="399"/>
      <c r="AT386" s="399"/>
      <c r="AU386" s="399"/>
      <c r="AV386" s="399"/>
      <c r="AW386" s="399"/>
      <c r="AX386" s="399"/>
      <c r="AY386" s="399"/>
      <c r="AZ386" s="399">
        <v>0</v>
      </c>
      <c r="BA386" s="399"/>
      <c r="BB386" s="399"/>
      <c r="BC386" s="399"/>
      <c r="BD386" s="399"/>
      <c r="BE386" s="399"/>
      <c r="BF386" s="399"/>
      <c r="BG386" s="399"/>
      <c r="BH386" s="399"/>
      <c r="BI386" s="399">
        <v>0</v>
      </c>
      <c r="BJ386" s="399">
        <v>0</v>
      </c>
      <c r="BK386" s="399">
        <v>0.01</v>
      </c>
      <c r="BL386" s="399">
        <v>0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/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/>
      <c r="CJ386" s="399">
        <v>-0.03</v>
      </c>
      <c r="CK386" s="399"/>
      <c r="CL386" s="399"/>
      <c r="CM386" s="399"/>
      <c r="CN386" s="399"/>
      <c r="CO386" s="399">
        <v>0</v>
      </c>
      <c r="CP386" s="399">
        <v>0</v>
      </c>
      <c r="CQ386" s="399">
        <v>31</v>
      </c>
      <c r="CR386" s="399"/>
      <c r="CS386" s="399"/>
      <c r="CT386" s="399"/>
      <c r="CU386" s="399"/>
      <c r="CV386" s="399"/>
      <c r="CW386" s="399"/>
      <c r="CX386" s="399"/>
      <c r="CY386" s="399"/>
      <c r="CZ386" s="399"/>
      <c r="DA386" s="399"/>
      <c r="DB386" s="399"/>
      <c r="DC386" s="399"/>
      <c r="DD386" s="399"/>
      <c r="DE386" s="399"/>
      <c r="DF386" s="399"/>
      <c r="DG386" s="399"/>
      <c r="DH386" s="399"/>
      <c r="DI386" s="399"/>
      <c r="DJ386" s="399"/>
      <c r="DK386" s="399">
        <v>0</v>
      </c>
      <c r="DL386" s="399"/>
      <c r="DM386" s="399"/>
      <c r="DN386" s="399"/>
      <c r="DO386" s="399"/>
      <c r="DP386" s="399"/>
      <c r="DQ386" s="399"/>
      <c r="DR386" s="399"/>
      <c r="DS386" s="399"/>
      <c r="DT386" s="399"/>
      <c r="DU386" s="399"/>
      <c r="DV386" s="399"/>
      <c r="DW386" s="399"/>
      <c r="DX386" s="399"/>
      <c r="DY386" s="399"/>
      <c r="DZ386" s="399"/>
      <c r="EA386" s="399"/>
      <c r="EB386" s="399"/>
      <c r="EC386" s="399"/>
      <c r="ED386" s="399"/>
      <c r="EE386" s="399"/>
      <c r="EF386" s="399"/>
      <c r="EG386" s="399"/>
      <c r="EH386" s="399"/>
      <c r="EI386" s="399"/>
      <c r="EJ386" s="399"/>
      <c r="EK386" s="399"/>
      <c r="EL386" s="399"/>
      <c r="EM386" s="399"/>
      <c r="EN386" s="399"/>
      <c r="EO386" s="399"/>
      <c r="EP386" s="399"/>
      <c r="EQ386" s="399"/>
      <c r="ER386" s="399"/>
      <c r="ES386" s="399"/>
      <c r="ET386" s="399"/>
      <c r="EU386" s="399"/>
      <c r="EV386" s="399">
        <v>216</v>
      </c>
      <c r="EW386" s="399"/>
      <c r="EX386" s="399"/>
      <c r="EY386" s="399"/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387</v>
      </c>
      <c r="B387" s="399" t="s">
        <v>954</v>
      </c>
      <c r="C387" s="399" t="s">
        <v>2352</v>
      </c>
      <c r="D387" s="399" t="s">
        <v>1824</v>
      </c>
      <c r="E387" s="399" t="s">
        <v>916</v>
      </c>
      <c r="F387" s="399" t="s">
        <v>1237</v>
      </c>
      <c r="G387" s="399" t="s">
        <v>1237</v>
      </c>
      <c r="H387" s="399" t="s">
        <v>1237</v>
      </c>
      <c r="I387" s="399" t="s">
        <v>1237</v>
      </c>
      <c r="J387" s="399" t="s">
        <v>2353</v>
      </c>
      <c r="K387" s="789">
        <v>44743</v>
      </c>
      <c r="L387" s="399">
        <v>0</v>
      </c>
      <c r="M387" s="399">
        <v>0</v>
      </c>
      <c r="N387" s="399">
        <v>160.21700000000001</v>
      </c>
      <c r="O387" s="399">
        <v>160.21700000000001</v>
      </c>
      <c r="P387" s="399">
        <v>160.21700000000001</v>
      </c>
      <c r="Q387" s="399">
        <v>160.21700000000001</v>
      </c>
      <c r="R387" s="399"/>
      <c r="S387" s="399">
        <v>415.98</v>
      </c>
      <c r="T387" s="399">
        <v>215.17</v>
      </c>
      <c r="U387" s="399"/>
      <c r="V387" s="399">
        <v>101120.95955000001</v>
      </c>
      <c r="W387" s="399">
        <v>101120.95955000001</v>
      </c>
      <c r="X387" s="399">
        <v>87885.433180000007</v>
      </c>
      <c r="Y387" s="399">
        <v>0</v>
      </c>
      <c r="Z387" s="399">
        <v>9787.1114868563909</v>
      </c>
      <c r="AA387" s="399">
        <v>0</v>
      </c>
      <c r="AB387" s="399">
        <v>0</v>
      </c>
      <c r="AC387" s="399">
        <v>0</v>
      </c>
      <c r="AD387" s="399">
        <v>14309.873865112892</v>
      </c>
      <c r="AE387" s="399">
        <v>40504.538564205504</v>
      </c>
      <c r="AF387" s="399">
        <v>33767.645354001637</v>
      </c>
      <c r="AG387" s="399">
        <v>706.07222304867969</v>
      </c>
      <c r="AH387" s="399">
        <v>0</v>
      </c>
      <c r="AI387" s="399">
        <v>0</v>
      </c>
      <c r="AJ387" s="399">
        <v>0</v>
      </c>
      <c r="AK387" s="399">
        <v>0</v>
      </c>
      <c r="AL387" s="399">
        <v>1512.3597770420051</v>
      </c>
      <c r="AM387" s="399"/>
      <c r="AN387" s="399">
        <v>188.63909186737399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344.77649671161066</v>
      </c>
      <c r="BH387" s="399">
        <v>0</v>
      </c>
      <c r="BI387" s="399">
        <v>0</v>
      </c>
      <c r="BJ387" s="399">
        <v>0</v>
      </c>
      <c r="BK387" s="399">
        <v>17658.02</v>
      </c>
      <c r="BL387" s="399">
        <v>442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34112.421850713246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87887.078799999988</v>
      </c>
      <c r="CJ387" s="399">
        <v>-13233.91075000001</v>
      </c>
      <c r="CK387" s="399"/>
      <c r="CL387" s="399"/>
      <c r="CM387" s="399"/>
      <c r="CN387" s="399"/>
      <c r="CO387" s="399">
        <v>-17590.224430000006</v>
      </c>
      <c r="CP387" s="399">
        <v>4354.6980600000015</v>
      </c>
      <c r="CQ387" s="399">
        <v>31</v>
      </c>
      <c r="CR387" s="399">
        <v>4536.3671125544497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595.60817425774076</v>
      </c>
      <c r="DA387" s="399">
        <v>0</v>
      </c>
      <c r="DB387" s="399">
        <v>0</v>
      </c>
      <c r="DC387" s="399">
        <v>4354.6155609272973</v>
      </c>
      <c r="DD387" s="399">
        <v>0</v>
      </c>
      <c r="DE387" s="399">
        <v>0</v>
      </c>
      <c r="DF387" s="399">
        <v>0</v>
      </c>
      <c r="DG387" s="399">
        <v>44.461764564359441</v>
      </c>
      <c r="DH387" s="399">
        <v>0</v>
      </c>
      <c r="DI387" s="399">
        <v>-397.93414031764769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-48.086293611381279</v>
      </c>
      <c r="DP387" s="399">
        <v>-12.29795326592378</v>
      </c>
      <c r="DQ387" s="399">
        <v>0</v>
      </c>
      <c r="DR387" s="399">
        <v>0</v>
      </c>
      <c r="DS387" s="399"/>
      <c r="DT387" s="399"/>
      <c r="DU387" s="399"/>
      <c r="DV387" s="399">
        <v>40504.538564205504</v>
      </c>
      <c r="DW387" s="399">
        <v>0</v>
      </c>
      <c r="DX387" s="399">
        <v>0</v>
      </c>
      <c r="DY387" s="399">
        <v>-17590.224430000009</v>
      </c>
      <c r="DZ387" s="399">
        <v>4354.6980600000024</v>
      </c>
      <c r="EA387" s="399">
        <v>0</v>
      </c>
      <c r="EB387" s="399">
        <v>0</v>
      </c>
      <c r="EC387" s="399">
        <v>-17772.269805337812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216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388</v>
      </c>
      <c r="B388" s="399" t="s">
        <v>2354</v>
      </c>
      <c r="C388" s="399" t="s">
        <v>2352</v>
      </c>
      <c r="D388" s="399" t="s">
        <v>1824</v>
      </c>
      <c r="E388" s="399" t="s">
        <v>916</v>
      </c>
      <c r="F388" s="399" t="s">
        <v>1237</v>
      </c>
      <c r="G388" s="399" t="s">
        <v>1237</v>
      </c>
      <c r="H388" s="399" t="s">
        <v>1237</v>
      </c>
      <c r="I388" s="399" t="s">
        <v>1237</v>
      </c>
      <c r="J388" s="399" t="s">
        <v>2353</v>
      </c>
      <c r="K388" s="789">
        <v>44743</v>
      </c>
      <c r="L388" s="399">
        <v>0</v>
      </c>
      <c r="M388" s="399">
        <v>0</v>
      </c>
      <c r="N388" s="399">
        <v>0</v>
      </c>
      <c r="O388" s="399">
        <v>0</v>
      </c>
      <c r="P388" s="399">
        <v>0</v>
      </c>
      <c r="Q388" s="399">
        <v>0</v>
      </c>
      <c r="R388" s="399"/>
      <c r="S388" s="399"/>
      <c r="T388" s="399"/>
      <c r="U388" s="399"/>
      <c r="V388" s="399"/>
      <c r="W388" s="399"/>
      <c r="X388" s="399"/>
      <c r="Y388" s="399"/>
      <c r="Z388" s="399"/>
      <c r="AA388" s="399">
        <v>0</v>
      </c>
      <c r="AB388" s="399"/>
      <c r="AC388" s="399"/>
      <c r="AD388" s="399"/>
      <c r="AE388" s="399"/>
      <c r="AF388" s="399"/>
      <c r="AG388" s="399"/>
      <c r="AH388" s="399"/>
      <c r="AI388" s="399"/>
      <c r="AJ388" s="399"/>
      <c r="AK388" s="399"/>
      <c r="AL388" s="399"/>
      <c r="AM388" s="399"/>
      <c r="AN388" s="399"/>
      <c r="AO388" s="399"/>
      <c r="AP388" s="399"/>
      <c r="AQ388" s="399"/>
      <c r="AR388" s="399"/>
      <c r="AS388" s="399"/>
      <c r="AT388" s="399"/>
      <c r="AU388" s="399"/>
      <c r="AV388" s="399"/>
      <c r="AW388" s="399"/>
      <c r="AX388" s="399"/>
      <c r="AY388" s="399"/>
      <c r="AZ388" s="399">
        <v>0</v>
      </c>
      <c r="BA388" s="399"/>
      <c r="BB388" s="399"/>
      <c r="BC388" s="399"/>
      <c r="BD388" s="399"/>
      <c r="BE388" s="399"/>
      <c r="BF388" s="399"/>
      <c r="BG388" s="399"/>
      <c r="BH388" s="399"/>
      <c r="BI388" s="399">
        <v>0</v>
      </c>
      <c r="BJ388" s="399">
        <v>0</v>
      </c>
      <c r="BK388" s="399">
        <v>-305.82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/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/>
      <c r="CJ388" s="399">
        <v>-0.03</v>
      </c>
      <c r="CK388" s="399"/>
      <c r="CL388" s="399"/>
      <c r="CM388" s="399"/>
      <c r="CN388" s="399"/>
      <c r="CO388" s="399">
        <v>0</v>
      </c>
      <c r="CP388" s="399">
        <v>0</v>
      </c>
      <c r="CQ388" s="399">
        <v>31</v>
      </c>
      <c r="CR388" s="399"/>
      <c r="CS388" s="399"/>
      <c r="CT388" s="399"/>
      <c r="CU388" s="399"/>
      <c r="CV388" s="399"/>
      <c r="CW388" s="399"/>
      <c r="CX388" s="399"/>
      <c r="CY388" s="399"/>
      <c r="CZ388" s="399"/>
      <c r="DA388" s="399"/>
      <c r="DB388" s="399"/>
      <c r="DC388" s="399"/>
      <c r="DD388" s="399"/>
      <c r="DE388" s="399"/>
      <c r="DF388" s="399"/>
      <c r="DG388" s="399"/>
      <c r="DH388" s="399"/>
      <c r="DI388" s="399"/>
      <c r="DJ388" s="399"/>
      <c r="DK388" s="399">
        <v>0</v>
      </c>
      <c r="DL388" s="399"/>
      <c r="DM388" s="399"/>
      <c r="DN388" s="399"/>
      <c r="DO388" s="399"/>
      <c r="DP388" s="399"/>
      <c r="DQ388" s="399"/>
      <c r="DR388" s="399"/>
      <c r="DS388" s="399"/>
      <c r="DT388" s="399"/>
      <c r="DU388" s="399"/>
      <c r="DV388" s="399"/>
      <c r="DW388" s="399"/>
      <c r="DX388" s="399"/>
      <c r="DY388" s="399"/>
      <c r="DZ388" s="399"/>
      <c r="EA388" s="399"/>
      <c r="EB388" s="399"/>
      <c r="EC388" s="399"/>
      <c r="ED388" s="399"/>
      <c r="EE388" s="399"/>
      <c r="EF388" s="399"/>
      <c r="EG388" s="399"/>
      <c r="EH388" s="399"/>
      <c r="EI388" s="399"/>
      <c r="EJ388" s="399"/>
      <c r="EK388" s="399"/>
      <c r="EL388" s="399"/>
      <c r="EM388" s="399"/>
      <c r="EN388" s="399"/>
      <c r="EO388" s="399"/>
      <c r="EP388" s="399"/>
      <c r="EQ388" s="399"/>
      <c r="ER388" s="399"/>
      <c r="ES388" s="399"/>
      <c r="ET388" s="399"/>
      <c r="EU388" s="399"/>
      <c r="EV388" s="399">
        <v>216</v>
      </c>
      <c r="EW388" s="399"/>
      <c r="EX388" s="399"/>
      <c r="EY388" s="399"/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389</v>
      </c>
      <c r="B389" s="399" t="s">
        <v>2355</v>
      </c>
      <c r="C389" s="399" t="s">
        <v>2352</v>
      </c>
      <c r="D389" s="399" t="s">
        <v>1824</v>
      </c>
      <c r="E389" s="399" t="s">
        <v>916</v>
      </c>
      <c r="F389" s="399" t="s">
        <v>1237</v>
      </c>
      <c r="G389" s="399" t="s">
        <v>1237</v>
      </c>
      <c r="H389" s="399" t="s">
        <v>1237</v>
      </c>
      <c r="I389" s="399" t="s">
        <v>1237</v>
      </c>
      <c r="J389" s="399" t="s">
        <v>2353</v>
      </c>
      <c r="K389" s="789">
        <v>44743</v>
      </c>
      <c r="L389" s="399">
        <v>0</v>
      </c>
      <c r="M389" s="399">
        <v>0</v>
      </c>
      <c r="N389" s="399">
        <v>3.056</v>
      </c>
      <c r="O389" s="399">
        <v>3.056</v>
      </c>
      <c r="P389" s="399">
        <v>3.056</v>
      </c>
      <c r="Q389" s="399">
        <v>3.056</v>
      </c>
      <c r="R389" s="399"/>
      <c r="S389" s="399">
        <v>415.98</v>
      </c>
      <c r="T389" s="399">
        <v>215.17</v>
      </c>
      <c r="U389" s="399"/>
      <c r="V389" s="399">
        <v>1928.7944</v>
      </c>
      <c r="W389" s="399">
        <v>1928.7944</v>
      </c>
      <c r="X389" s="399">
        <v>1676.33824</v>
      </c>
      <c r="Y389" s="399">
        <v>0</v>
      </c>
      <c r="Z389" s="399">
        <v>186.6806437758361</v>
      </c>
      <c r="AA389" s="399">
        <v>0</v>
      </c>
      <c r="AB389" s="399">
        <v>0</v>
      </c>
      <c r="AC389" s="399">
        <v>0</v>
      </c>
      <c r="AD389" s="399">
        <v>272.9484045499853</v>
      </c>
      <c r="AE389" s="399">
        <v>772.58886293097498</v>
      </c>
      <c r="AF389" s="399">
        <v>644.08848125872407</v>
      </c>
      <c r="AG389" s="399">
        <v>13.467713873289131</v>
      </c>
      <c r="AH389" s="399">
        <v>0</v>
      </c>
      <c r="AI389" s="399">
        <v>0</v>
      </c>
      <c r="AJ389" s="399">
        <v>0</v>
      </c>
      <c r="AK389" s="399">
        <v>0</v>
      </c>
      <c r="AL389" s="399">
        <v>28.846948068184819</v>
      </c>
      <c r="AM389" s="399"/>
      <c r="AN389" s="399">
        <v>3.5981266953362931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6.5763119640904657</v>
      </c>
      <c r="BH389" s="399">
        <v>0</v>
      </c>
      <c r="BI389" s="399">
        <v>0</v>
      </c>
      <c r="BJ389" s="399">
        <v>0</v>
      </c>
      <c r="BK389" s="399">
        <v>392.71</v>
      </c>
      <c r="BL389" s="399">
        <v>8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650.66479322281452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1678.5324000000001</v>
      </c>
      <c r="CJ389" s="399">
        <v>-250.29199999999992</v>
      </c>
      <c r="CK389" s="399"/>
      <c r="CL389" s="399"/>
      <c r="CM389" s="399"/>
      <c r="CN389" s="399"/>
      <c r="CO389" s="399">
        <v>-335.51824000000005</v>
      </c>
      <c r="CP389" s="399">
        <v>83.062080000000023</v>
      </c>
      <c r="CQ389" s="399">
        <v>31</v>
      </c>
      <c r="CR389" s="399">
        <v>86.527259254425871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11.3607081678702</v>
      </c>
      <c r="DA389" s="399">
        <v>0</v>
      </c>
      <c r="DB389" s="399">
        <v>0</v>
      </c>
      <c r="DC389" s="399">
        <v>83.060506401903808</v>
      </c>
      <c r="DD389" s="399">
        <v>0</v>
      </c>
      <c r="DE389" s="399">
        <v>0</v>
      </c>
      <c r="DF389" s="399">
        <v>0</v>
      </c>
      <c r="DG389" s="399">
        <v>0.84806950890780897</v>
      </c>
      <c r="DH389" s="399">
        <v>0</v>
      </c>
      <c r="DI389" s="399">
        <v>-7.5902478064795389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-0.91720424971370562</v>
      </c>
      <c r="DP389" s="399">
        <v>-0.23457276806245941</v>
      </c>
      <c r="DQ389" s="399">
        <v>0</v>
      </c>
      <c r="DR389" s="399">
        <v>0</v>
      </c>
      <c r="DS389" s="399"/>
      <c r="DT389" s="399"/>
      <c r="DU389" s="399"/>
      <c r="DV389" s="399">
        <v>772.58886293097498</v>
      </c>
      <c r="DW389" s="399">
        <v>0</v>
      </c>
      <c r="DX389" s="399">
        <v>0</v>
      </c>
      <c r="DY389" s="399">
        <v>-335.51823999999999</v>
      </c>
      <c r="DZ389" s="399">
        <v>83.062079999999924</v>
      </c>
      <c r="EA389" s="399">
        <v>0</v>
      </c>
      <c r="EB389" s="399">
        <v>0</v>
      </c>
      <c r="EC389" s="399">
        <v>-338.99059728438527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216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390</v>
      </c>
      <c r="B390" s="399" t="s">
        <v>954</v>
      </c>
      <c r="C390" s="399" t="s">
        <v>2360</v>
      </c>
      <c r="D390" s="399" t="s">
        <v>533</v>
      </c>
      <c r="E390" s="399" t="s">
        <v>916</v>
      </c>
      <c r="F390" s="399" t="s">
        <v>1237</v>
      </c>
      <c r="G390" s="399" t="s">
        <v>1237</v>
      </c>
      <c r="H390" s="399" t="s">
        <v>1237</v>
      </c>
      <c r="I390" s="399" t="s">
        <v>891</v>
      </c>
      <c r="J390" s="399" t="s">
        <v>2353</v>
      </c>
      <c r="K390" s="789">
        <v>44743</v>
      </c>
      <c r="L390" s="399">
        <v>0</v>
      </c>
      <c r="M390" s="399">
        <v>0</v>
      </c>
      <c r="N390" s="399">
        <v>2.4049999999999998</v>
      </c>
      <c r="O390" s="399">
        <v>2.4049999999999998</v>
      </c>
      <c r="P390" s="399">
        <v>2.4049999999999998</v>
      </c>
      <c r="Q390" s="399">
        <v>2.4049999999999998</v>
      </c>
      <c r="R390" s="399"/>
      <c r="S390" s="399">
        <v>2184.0300000000002</v>
      </c>
      <c r="T390" s="399">
        <v>215.17</v>
      </c>
      <c r="U390" s="399"/>
      <c r="V390" s="399">
        <v>5770.076</v>
      </c>
      <c r="W390" s="399">
        <v>5770.076</v>
      </c>
      <c r="X390" s="399">
        <v>4353.9879499999997</v>
      </c>
      <c r="Y390" s="399">
        <v>0</v>
      </c>
      <c r="Z390" s="399">
        <v>127.81454352237242</v>
      </c>
      <c r="AA390" s="399">
        <v>0</v>
      </c>
      <c r="AB390" s="399">
        <v>0</v>
      </c>
      <c r="AC390" s="399">
        <v>0</v>
      </c>
      <c r="AD390" s="399">
        <v>1584.8812100983064</v>
      </c>
      <c r="AE390" s="399">
        <v>3513.5320229734339</v>
      </c>
      <c r="AF390" s="399">
        <v>506.8824598911097</v>
      </c>
      <c r="AG390" s="399">
        <v>10.598773516119227</v>
      </c>
      <c r="AH390" s="399">
        <v>0</v>
      </c>
      <c r="AI390" s="399">
        <v>0</v>
      </c>
      <c r="AJ390" s="399">
        <v>0</v>
      </c>
      <c r="AK390" s="399">
        <v>0</v>
      </c>
      <c r="AL390" s="399">
        <v>22.701868489523719</v>
      </c>
      <c r="AM390" s="399"/>
      <c r="AN390" s="399">
        <v>1.6591437139187371</v>
      </c>
      <c r="AO390" s="399">
        <v>0</v>
      </c>
      <c r="AP390" s="399">
        <v>0</v>
      </c>
      <c r="AQ390" s="399">
        <v>0</v>
      </c>
      <c r="AR390" s="399">
        <v>0</v>
      </c>
      <c r="AS390" s="399">
        <v>0</v>
      </c>
      <c r="AT390" s="399">
        <v>0</v>
      </c>
      <c r="AU390" s="399">
        <v>0</v>
      </c>
      <c r="AV390" s="399">
        <v>0</v>
      </c>
      <c r="AW390" s="399">
        <v>0</v>
      </c>
      <c r="AX390" s="399">
        <v>0</v>
      </c>
      <c r="AY390" s="399">
        <v>0</v>
      </c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>
        <v>0</v>
      </c>
      <c r="BG390" s="399">
        <v>1.9981968456777361</v>
      </c>
      <c r="BH390" s="399">
        <v>0</v>
      </c>
      <c r="BI390" s="399">
        <v>0</v>
      </c>
      <c r="BJ390" s="399">
        <v>0</v>
      </c>
      <c r="BK390" s="399">
        <v>0</v>
      </c>
      <c r="BL390" s="399">
        <v>0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508.88065673678744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4363.0398999999998</v>
      </c>
      <c r="CJ390" s="399">
        <v>-1407.0661000000009</v>
      </c>
      <c r="CK390" s="399"/>
      <c r="CL390" s="399"/>
      <c r="CM390" s="399"/>
      <c r="CN390" s="399"/>
      <c r="CO390" s="399">
        <v>-1481.4559500000005</v>
      </c>
      <c r="CP390" s="399">
        <v>65.367900000000006</v>
      </c>
      <c r="CQ390" s="399">
        <v>31</v>
      </c>
      <c r="CR390" s="399">
        <v>125.56376576410685</v>
      </c>
      <c r="CS390" s="399">
        <v>0</v>
      </c>
      <c r="CT390" s="399">
        <v>0</v>
      </c>
      <c r="CU390" s="399">
        <v>0</v>
      </c>
      <c r="CV390" s="399">
        <v>0</v>
      </c>
      <c r="CW390" s="399">
        <v>0</v>
      </c>
      <c r="CX390" s="399">
        <v>0</v>
      </c>
      <c r="CY390" s="399">
        <v>0</v>
      </c>
      <c r="CZ390" s="399">
        <v>65.966214158142748</v>
      </c>
      <c r="DA390" s="399">
        <v>0</v>
      </c>
      <c r="DB390" s="399">
        <v>0</v>
      </c>
      <c r="DC390" s="399">
        <v>65.366661615372493</v>
      </c>
      <c r="DD390" s="399">
        <v>0</v>
      </c>
      <c r="DE390" s="399">
        <v>0</v>
      </c>
      <c r="DF390" s="399">
        <v>0</v>
      </c>
      <c r="DG390" s="399">
        <v>0.25768391567619919</v>
      </c>
      <c r="DH390" s="399">
        <v>0</v>
      </c>
      <c r="DI390" s="399">
        <v>-5.196811190407999</v>
      </c>
      <c r="DJ390" s="399"/>
      <c r="DK390" s="399">
        <v>0</v>
      </c>
      <c r="DL390" s="399">
        <v>0</v>
      </c>
      <c r="DM390" s="399">
        <v>0</v>
      </c>
      <c r="DN390" s="399">
        <v>0</v>
      </c>
      <c r="DO390" s="399">
        <v>-0.72181813500047909</v>
      </c>
      <c r="DP390" s="399">
        <v>-0.10816459967677594</v>
      </c>
      <c r="DQ390" s="399">
        <v>0</v>
      </c>
      <c r="DR390" s="399">
        <v>0</v>
      </c>
      <c r="DS390" s="399"/>
      <c r="DT390" s="399"/>
      <c r="DU390" s="399"/>
      <c r="DV390" s="399">
        <v>3513.5320229734339</v>
      </c>
      <c r="DW390" s="399">
        <v>0</v>
      </c>
      <c r="DX390" s="399">
        <v>0</v>
      </c>
      <c r="DY390" s="399">
        <v>-1481.4559500000009</v>
      </c>
      <c r="DZ390" s="399">
        <v>65.367899999999963</v>
      </c>
      <c r="EA390" s="399">
        <v>0</v>
      </c>
      <c r="EB390" s="399">
        <v>0</v>
      </c>
      <c r="EC390" s="399">
        <v>-1541.6405493176132</v>
      </c>
      <c r="ED390" s="399">
        <v>0</v>
      </c>
      <c r="EE390" s="399">
        <v>0</v>
      </c>
      <c r="EF390" s="399">
        <v>0</v>
      </c>
      <c r="EG390" s="399">
        <v>0</v>
      </c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>
        <v>0</v>
      </c>
      <c r="EN390" s="399">
        <v>0</v>
      </c>
      <c r="EO390" s="399">
        <v>0</v>
      </c>
      <c r="EP390" s="399">
        <v>0</v>
      </c>
      <c r="EQ390" s="399">
        <v>0</v>
      </c>
      <c r="ER390" s="399">
        <v>0</v>
      </c>
      <c r="ES390" s="399">
        <v>0</v>
      </c>
      <c r="ET390" s="399">
        <v>0</v>
      </c>
      <c r="EU390" s="399">
        <v>0</v>
      </c>
      <c r="EV390" s="399">
        <v>216</v>
      </c>
      <c r="EW390" s="399">
        <v>0</v>
      </c>
      <c r="EX390" s="399">
        <v>0</v>
      </c>
      <c r="EY390" s="399">
        <v>0</v>
      </c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391</v>
      </c>
      <c r="B391" s="399" t="s">
        <v>954</v>
      </c>
      <c r="C391" s="399" t="s">
        <v>2360</v>
      </c>
      <c r="D391" s="399" t="s">
        <v>533</v>
      </c>
      <c r="E391" s="399" t="s">
        <v>916</v>
      </c>
      <c r="F391" s="399" t="s">
        <v>1237</v>
      </c>
      <c r="G391" s="399" t="s">
        <v>1237</v>
      </c>
      <c r="H391" s="399" t="s">
        <v>1237</v>
      </c>
      <c r="I391" s="399" t="s">
        <v>2327</v>
      </c>
      <c r="J391" s="399" t="s">
        <v>2353</v>
      </c>
      <c r="K391" s="789">
        <v>44743</v>
      </c>
      <c r="L391" s="399">
        <v>0</v>
      </c>
      <c r="M391" s="399">
        <v>0</v>
      </c>
      <c r="N391" s="399">
        <v>26.928999999999998</v>
      </c>
      <c r="O391" s="399">
        <v>26.928999999999998</v>
      </c>
      <c r="P391" s="399">
        <v>26.928999999999998</v>
      </c>
      <c r="Q391" s="399">
        <v>26.928999999999998</v>
      </c>
      <c r="R391" s="399"/>
      <c r="S391" s="399">
        <v>64.11</v>
      </c>
      <c r="T391" s="399">
        <v>215.17</v>
      </c>
      <c r="U391" s="399"/>
      <c r="V391" s="399">
        <v>7520.7311199999986</v>
      </c>
      <c r="W391" s="399">
        <v>7520.7311199999986</v>
      </c>
      <c r="X391" s="399">
        <v>8188.0317399999994</v>
      </c>
      <c r="Y391" s="399">
        <v>0</v>
      </c>
      <c r="Z391" s="399">
        <v>1431.1508700681775</v>
      </c>
      <c r="AA391" s="399">
        <v>0</v>
      </c>
      <c r="AB391" s="399">
        <v>0</v>
      </c>
      <c r="AC391" s="399">
        <v>0</v>
      </c>
      <c r="AD391" s="399">
        <v>0</v>
      </c>
      <c r="AE391" s="399">
        <v>0</v>
      </c>
      <c r="AF391" s="399">
        <v>5675.6082172173365</v>
      </c>
      <c r="AG391" s="399">
        <v>118.67541455949051</v>
      </c>
      <c r="AH391" s="399">
        <v>0</v>
      </c>
      <c r="AI391" s="399">
        <v>0</v>
      </c>
      <c r="AJ391" s="399">
        <v>0</v>
      </c>
      <c r="AK391" s="399">
        <v>0</v>
      </c>
      <c r="AL391" s="399">
        <v>254.19485095816393</v>
      </c>
      <c r="AM391" s="399"/>
      <c r="AN391" s="399">
        <v>18.577580487367015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22.373988714035658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5697.9822059313719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8188.3357999999998</v>
      </c>
      <c r="CJ391" s="399">
        <v>667.57468000000063</v>
      </c>
      <c r="CK391" s="399"/>
      <c r="CL391" s="399"/>
      <c r="CM391" s="399"/>
      <c r="CN391" s="399"/>
      <c r="CO391" s="399">
        <v>-64.629599999999954</v>
      </c>
      <c r="CP391" s="399">
        <v>731.93022000000019</v>
      </c>
      <c r="CQ391" s="399">
        <v>31</v>
      </c>
      <c r="CR391" s="399">
        <v>667.31911317962113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0</v>
      </c>
      <c r="DA391" s="399">
        <v>0</v>
      </c>
      <c r="DB391" s="399">
        <v>0</v>
      </c>
      <c r="DC391" s="399">
        <v>731.91635369661799</v>
      </c>
      <c r="DD391" s="399">
        <v>0</v>
      </c>
      <c r="DE391" s="399">
        <v>0</v>
      </c>
      <c r="DF391" s="399">
        <v>0</v>
      </c>
      <c r="DG391" s="399">
        <v>2.8853098400184507</v>
      </c>
      <c r="DH391" s="399">
        <v>0</v>
      </c>
      <c r="DI391" s="399">
        <v>-58.189159478792817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-8.0822621860407082</v>
      </c>
      <c r="DP391" s="399">
        <v>-1.2111286921812479</v>
      </c>
      <c r="DQ391" s="399">
        <v>0</v>
      </c>
      <c r="DR391" s="399">
        <v>0</v>
      </c>
      <c r="DS391" s="399"/>
      <c r="DT391" s="399"/>
      <c r="DU391" s="399"/>
      <c r="DV391" s="399">
        <v>0</v>
      </c>
      <c r="DW391" s="399">
        <v>0</v>
      </c>
      <c r="DX391" s="399">
        <v>0</v>
      </c>
      <c r="DY391" s="399">
        <v>-64.629599999999982</v>
      </c>
      <c r="DZ391" s="399">
        <v>731.93022000000019</v>
      </c>
      <c r="EA391" s="399">
        <v>0</v>
      </c>
      <c r="EB391" s="399">
        <v>0</v>
      </c>
      <c r="EC391" s="399">
        <v>0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216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392</v>
      </c>
      <c r="B392" s="399" t="s">
        <v>954</v>
      </c>
      <c r="C392" s="399" t="s">
        <v>2360</v>
      </c>
      <c r="D392" s="399" t="s">
        <v>533</v>
      </c>
      <c r="E392" s="399" t="s">
        <v>916</v>
      </c>
      <c r="F392" s="399" t="s">
        <v>1237</v>
      </c>
      <c r="G392" s="399" t="s">
        <v>1237</v>
      </c>
      <c r="H392" s="399" t="s">
        <v>1237</v>
      </c>
      <c r="I392" s="399" t="s">
        <v>1237</v>
      </c>
      <c r="J392" s="399" t="s">
        <v>2353</v>
      </c>
      <c r="K392" s="789">
        <v>44743</v>
      </c>
      <c r="L392" s="399">
        <v>85</v>
      </c>
      <c r="M392" s="399">
        <v>85</v>
      </c>
      <c r="N392" s="399">
        <v>0</v>
      </c>
      <c r="O392" s="399">
        <v>0</v>
      </c>
      <c r="P392" s="399">
        <v>0</v>
      </c>
      <c r="Q392" s="399">
        <v>0</v>
      </c>
      <c r="R392" s="399">
        <v>28.04</v>
      </c>
      <c r="S392" s="399"/>
      <c r="T392" s="399"/>
      <c r="U392" s="399">
        <v>2383.4</v>
      </c>
      <c r="V392" s="399"/>
      <c r="W392" s="399">
        <v>2383.4</v>
      </c>
      <c r="X392" s="399">
        <v>1790.1</v>
      </c>
      <c r="Y392" s="399">
        <v>0</v>
      </c>
      <c r="Z392" s="399">
        <v>0</v>
      </c>
      <c r="AA392" s="399">
        <v>0</v>
      </c>
      <c r="AB392" s="399">
        <v>0</v>
      </c>
      <c r="AC392" s="399">
        <v>0</v>
      </c>
      <c r="AD392" s="399">
        <v>941.00757853286541</v>
      </c>
      <c r="AE392" s="399">
        <v>1442.815491524344</v>
      </c>
      <c r="AF392" s="399"/>
      <c r="AG392" s="399"/>
      <c r="AH392" s="399"/>
      <c r="AI392" s="399">
        <v>0</v>
      </c>
      <c r="AJ392" s="399">
        <v>0</v>
      </c>
      <c r="AK392" s="399">
        <v>0</v>
      </c>
      <c r="AL392" s="399">
        <v>0</v>
      </c>
      <c r="AM392" s="399"/>
      <c r="AN392" s="399">
        <v>0</v>
      </c>
      <c r="AO392" s="399">
        <v>0</v>
      </c>
      <c r="AP392" s="399">
        <v>0</v>
      </c>
      <c r="AQ392" s="399">
        <v>0</v>
      </c>
      <c r="AR392" s="399">
        <v>0</v>
      </c>
      <c r="AS392" s="399"/>
      <c r="AT392" s="399"/>
      <c r="AU392" s="399">
        <v>0</v>
      </c>
      <c r="AV392" s="399">
        <v>0</v>
      </c>
      <c r="AW392" s="399">
        <v>0</v>
      </c>
      <c r="AX392" s="399"/>
      <c r="AY392" s="399"/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/>
      <c r="BG392" s="399">
        <v>0</v>
      </c>
      <c r="BH392" s="399">
        <v>0</v>
      </c>
      <c r="BI392" s="399">
        <v>0</v>
      </c>
      <c r="BJ392" s="399">
        <v>0</v>
      </c>
      <c r="BK392" s="399">
        <v>2554.12</v>
      </c>
      <c r="BL392" s="399">
        <v>1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>
        <v>0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1790.1</v>
      </c>
      <c r="CJ392" s="399">
        <v>-593.33000000000084</v>
      </c>
      <c r="CK392" s="399"/>
      <c r="CL392" s="399"/>
      <c r="CM392" s="399"/>
      <c r="CN392" s="399"/>
      <c r="CO392" s="399">
        <v>-593.30000000000007</v>
      </c>
      <c r="CP392" s="399">
        <v>0</v>
      </c>
      <c r="CQ392" s="399">
        <v>31</v>
      </c>
      <c r="CR392" s="399">
        <v>39.166788687006488</v>
      </c>
      <c r="CS392" s="399">
        <v>0</v>
      </c>
      <c r="CT392" s="399">
        <v>0</v>
      </c>
      <c r="CU392" s="399">
        <v>0</v>
      </c>
      <c r="CV392" s="399">
        <v>0</v>
      </c>
      <c r="CW392" s="399"/>
      <c r="CX392" s="399"/>
      <c r="CY392" s="399"/>
      <c r="CZ392" s="399">
        <v>39.166788687006488</v>
      </c>
      <c r="DA392" s="399">
        <v>0</v>
      </c>
      <c r="DB392" s="399">
        <v>0</v>
      </c>
      <c r="DC392" s="399"/>
      <c r="DD392" s="399"/>
      <c r="DE392" s="399">
        <v>0</v>
      </c>
      <c r="DF392" s="399">
        <v>0</v>
      </c>
      <c r="DG392" s="399">
        <v>0</v>
      </c>
      <c r="DH392" s="399">
        <v>0</v>
      </c>
      <c r="DI392" s="399">
        <v>0</v>
      </c>
      <c r="DJ392" s="399"/>
      <c r="DK392" s="399">
        <v>0</v>
      </c>
      <c r="DL392" s="399">
        <v>0</v>
      </c>
      <c r="DM392" s="399"/>
      <c r="DN392" s="399">
        <v>0</v>
      </c>
      <c r="DO392" s="399">
        <v>0</v>
      </c>
      <c r="DP392" s="399">
        <v>0</v>
      </c>
      <c r="DQ392" s="399">
        <v>0</v>
      </c>
      <c r="DR392" s="399">
        <v>0</v>
      </c>
      <c r="DS392" s="399"/>
      <c r="DT392" s="399"/>
      <c r="DU392" s="399">
        <v>1442.815491524344</v>
      </c>
      <c r="DV392" s="399"/>
      <c r="DW392" s="399">
        <v>0</v>
      </c>
      <c r="DX392" s="399">
        <v>0</v>
      </c>
      <c r="DY392" s="399">
        <v>-593.30000000000018</v>
      </c>
      <c r="DZ392" s="399"/>
      <c r="EA392" s="399">
        <v>0</v>
      </c>
      <c r="EB392" s="399"/>
      <c r="EC392" s="399">
        <v>-633.06748092057182</v>
      </c>
      <c r="ED392" s="399"/>
      <c r="EE392" s="399">
        <v>0</v>
      </c>
      <c r="EF392" s="399">
        <v>0</v>
      </c>
      <c r="EG392" s="399"/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/>
      <c r="EN392" s="399"/>
      <c r="EO392" s="399">
        <v>0</v>
      </c>
      <c r="EP392" s="399">
        <v>0</v>
      </c>
      <c r="EQ392" s="399"/>
      <c r="ER392" s="399">
        <v>0</v>
      </c>
      <c r="ES392" s="399"/>
      <c r="ET392" s="399">
        <v>0</v>
      </c>
      <c r="EU392" s="399"/>
      <c r="EV392" s="399">
        <v>216</v>
      </c>
      <c r="EW392" s="399"/>
      <c r="EX392" s="399"/>
      <c r="EY392" s="399"/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393</v>
      </c>
      <c r="B393" s="399" t="s">
        <v>954</v>
      </c>
      <c r="C393" s="399" t="s">
        <v>2361</v>
      </c>
      <c r="D393" s="399" t="s">
        <v>1824</v>
      </c>
      <c r="E393" s="399" t="s">
        <v>916</v>
      </c>
      <c r="F393" s="399" t="s">
        <v>1237</v>
      </c>
      <c r="G393" s="399" t="s">
        <v>1237</v>
      </c>
      <c r="H393" s="399" t="s">
        <v>1237</v>
      </c>
      <c r="I393" s="399" t="s">
        <v>891</v>
      </c>
      <c r="J393" s="399" t="s">
        <v>2353</v>
      </c>
      <c r="K393" s="789">
        <v>44743</v>
      </c>
      <c r="L393" s="399">
        <v>0</v>
      </c>
      <c r="M393" s="399">
        <v>0</v>
      </c>
      <c r="N393" s="399">
        <v>7.8E-2</v>
      </c>
      <c r="O393" s="399">
        <v>7.8E-2</v>
      </c>
      <c r="P393" s="399">
        <v>7.8E-2</v>
      </c>
      <c r="Q393" s="399">
        <v>7.8E-2</v>
      </c>
      <c r="R393" s="399"/>
      <c r="S393" s="399">
        <v>1254.27</v>
      </c>
      <c r="T393" s="399">
        <v>215.17</v>
      </c>
      <c r="U393" s="399"/>
      <c r="V393" s="399">
        <v>114.61632</v>
      </c>
      <c r="W393" s="399">
        <v>114.61632</v>
      </c>
      <c r="X393" s="399">
        <v>87.68526</v>
      </c>
      <c r="Y393" s="399">
        <v>0</v>
      </c>
      <c r="Z393" s="399">
        <v>4.7647546513466015</v>
      </c>
      <c r="AA393" s="399">
        <v>0</v>
      </c>
      <c r="AB393" s="399">
        <v>0</v>
      </c>
      <c r="AC393" s="399">
        <v>0</v>
      </c>
      <c r="AD393" s="399">
        <v>24.040832272259244</v>
      </c>
      <c r="AE393" s="399">
        <v>68.031283348527481</v>
      </c>
      <c r="AF393" s="399">
        <v>16.439431131603559</v>
      </c>
      <c r="AG393" s="399">
        <v>0.34374400592819121</v>
      </c>
      <c r="AH393" s="399">
        <v>0</v>
      </c>
      <c r="AI393" s="399">
        <v>0</v>
      </c>
      <c r="AJ393" s="399">
        <v>0</v>
      </c>
      <c r="AK393" s="399">
        <v>0</v>
      </c>
      <c r="AL393" s="399">
        <v>0.736276815876445</v>
      </c>
      <c r="AM393" s="399"/>
      <c r="AN393" s="399">
        <v>9.1837003349551985E-2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0.16785089437141895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>
        <v>16.607282025974978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89.933600000000013</v>
      </c>
      <c r="CJ393" s="399">
        <v>-24.712720000000004</v>
      </c>
      <c r="CK393" s="399"/>
      <c r="CL393" s="399"/>
      <c r="CM393" s="399"/>
      <c r="CN393" s="399"/>
      <c r="CO393" s="399">
        <v>-29.051099999999995</v>
      </c>
      <c r="CP393" s="399">
        <v>2.1200400000000004</v>
      </c>
      <c r="CQ393" s="399">
        <v>31</v>
      </c>
      <c r="CR393" s="399">
        <v>2.9191498884028277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1.0006318960103719</v>
      </c>
      <c r="DA393" s="399">
        <v>0</v>
      </c>
      <c r="DB393" s="399">
        <v>0</v>
      </c>
      <c r="DC393" s="399">
        <v>2.1199998361742445</v>
      </c>
      <c r="DD393" s="399">
        <v>0</v>
      </c>
      <c r="DE393" s="399">
        <v>0</v>
      </c>
      <c r="DF393" s="399">
        <v>0</v>
      </c>
      <c r="DG393" s="399">
        <v>2.1645753172385179E-2</v>
      </c>
      <c r="DH393" s="399">
        <v>0</v>
      </c>
      <c r="DI393" s="399">
        <v>-0.19373014689312917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-2.3410317891907395E-2</v>
      </c>
      <c r="DP393" s="399">
        <v>-5.9871321691334495E-3</v>
      </c>
      <c r="DQ393" s="399">
        <v>0</v>
      </c>
      <c r="DR393" s="399">
        <v>0</v>
      </c>
      <c r="DS393" s="399"/>
      <c r="DT393" s="399"/>
      <c r="DU393" s="399"/>
      <c r="DV393" s="399">
        <v>68.031283348527481</v>
      </c>
      <c r="DW393" s="399">
        <v>0</v>
      </c>
      <c r="DX393" s="399">
        <v>0</v>
      </c>
      <c r="DY393" s="399">
        <v>-29.051100000000005</v>
      </c>
      <c r="DZ393" s="399">
        <v>2.1200399999999995</v>
      </c>
      <c r="EA393" s="399">
        <v>0</v>
      </c>
      <c r="EB393" s="399">
        <v>0</v>
      </c>
      <c r="EC393" s="399">
        <v>-29.850243101939441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216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394</v>
      </c>
      <c r="B394" s="399" t="s">
        <v>954</v>
      </c>
      <c r="C394" s="399" t="s">
        <v>2361</v>
      </c>
      <c r="D394" s="399" t="s">
        <v>1824</v>
      </c>
      <c r="E394" s="399" t="s">
        <v>916</v>
      </c>
      <c r="F394" s="399" t="s">
        <v>1237</v>
      </c>
      <c r="G394" s="399" t="s">
        <v>1237</v>
      </c>
      <c r="H394" s="399" t="s">
        <v>1237</v>
      </c>
      <c r="I394" s="399" t="s">
        <v>2327</v>
      </c>
      <c r="J394" s="399" t="s">
        <v>2353</v>
      </c>
      <c r="K394" s="789">
        <v>44743</v>
      </c>
      <c r="L394" s="399">
        <v>0</v>
      </c>
      <c r="M394" s="399">
        <v>0</v>
      </c>
      <c r="N394" s="399">
        <v>0.74099999999999999</v>
      </c>
      <c r="O394" s="399">
        <v>0.74099999999999999</v>
      </c>
      <c r="P394" s="399">
        <v>0.74099999999999999</v>
      </c>
      <c r="Q394" s="399">
        <v>0.74099999999999999</v>
      </c>
      <c r="R394" s="399"/>
      <c r="S394" s="399">
        <v>309.91000000000003</v>
      </c>
      <c r="T394" s="399">
        <v>215.17</v>
      </c>
      <c r="U394" s="399"/>
      <c r="V394" s="399">
        <v>389.08428000000004</v>
      </c>
      <c r="W394" s="399">
        <v>389.08428000000004</v>
      </c>
      <c r="X394" s="399">
        <v>352.49369999999999</v>
      </c>
      <c r="Y394" s="399">
        <v>0</v>
      </c>
      <c r="Z394" s="399">
        <v>45.265169187792715</v>
      </c>
      <c r="AA394" s="399">
        <v>0</v>
      </c>
      <c r="AB394" s="399">
        <v>0</v>
      </c>
      <c r="AC394" s="399">
        <v>0</v>
      </c>
      <c r="AD394" s="399">
        <v>45.657952770039124</v>
      </c>
      <c r="AE394" s="399">
        <v>129.25956090599576</v>
      </c>
      <c r="AF394" s="399">
        <v>156.17459575023381</v>
      </c>
      <c r="AG394" s="399">
        <v>3.2655680563178162</v>
      </c>
      <c r="AH394" s="399">
        <v>0</v>
      </c>
      <c r="AI394" s="399">
        <v>0</v>
      </c>
      <c r="AJ394" s="399">
        <v>0</v>
      </c>
      <c r="AK394" s="399">
        <v>0</v>
      </c>
      <c r="AL394" s="399">
        <v>6.9946297508262276</v>
      </c>
      <c r="AM394" s="399"/>
      <c r="AN394" s="399">
        <v>0.87245153182074386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1.59458349652848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157.76917924676229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352.01800000000003</v>
      </c>
      <c r="CJ394" s="399">
        <v>-37.096279999999979</v>
      </c>
      <c r="CK394" s="399"/>
      <c r="CL394" s="399"/>
      <c r="CM394" s="399"/>
      <c r="CN394" s="399"/>
      <c r="CO394" s="399">
        <v>-56.730960000000024</v>
      </c>
      <c r="CP394" s="399">
        <v>20.140380000000004</v>
      </c>
      <c r="CQ394" s="399">
        <v>31</v>
      </c>
      <c r="CR394" s="399">
        <v>20.126304547182087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1.9003836194537129</v>
      </c>
      <c r="DA394" s="399">
        <v>0</v>
      </c>
      <c r="DB394" s="399">
        <v>0</v>
      </c>
      <c r="DC394" s="399">
        <v>20.139998443655344</v>
      </c>
      <c r="DD394" s="399">
        <v>0</v>
      </c>
      <c r="DE394" s="399">
        <v>0</v>
      </c>
      <c r="DF394" s="399">
        <v>0</v>
      </c>
      <c r="DG394" s="399">
        <v>0.20563465513765933</v>
      </c>
      <c r="DH394" s="399">
        <v>0</v>
      </c>
      <c r="DI394" s="399">
        <v>-1.8404363954847298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-0.22239801997312103</v>
      </c>
      <c r="DP394" s="399">
        <v>-5.6877755606767777E-2</v>
      </c>
      <c r="DQ394" s="399">
        <v>0</v>
      </c>
      <c r="DR394" s="399">
        <v>0</v>
      </c>
      <c r="DS394" s="399"/>
      <c r="DT394" s="399"/>
      <c r="DU394" s="399"/>
      <c r="DV394" s="399">
        <v>129.25956090599576</v>
      </c>
      <c r="DW394" s="399">
        <v>0</v>
      </c>
      <c r="DX394" s="399">
        <v>0</v>
      </c>
      <c r="DY394" s="399">
        <v>-56.73096000000001</v>
      </c>
      <c r="DZ394" s="399">
        <v>20.140379999999993</v>
      </c>
      <c r="EA394" s="399">
        <v>0</v>
      </c>
      <c r="EB394" s="399">
        <v>0</v>
      </c>
      <c r="EC394" s="399">
        <v>-56.715515662507869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216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395</v>
      </c>
      <c r="B395" s="399" t="s">
        <v>954</v>
      </c>
      <c r="C395" s="399" t="s">
        <v>2361</v>
      </c>
      <c r="D395" s="399" t="s">
        <v>1824</v>
      </c>
      <c r="E395" s="399" t="s">
        <v>916</v>
      </c>
      <c r="F395" s="399" t="s">
        <v>1237</v>
      </c>
      <c r="G395" s="399" t="s">
        <v>1237</v>
      </c>
      <c r="H395" s="399" t="s">
        <v>1237</v>
      </c>
      <c r="I395" s="399" t="s">
        <v>1237</v>
      </c>
      <c r="J395" s="399" t="s">
        <v>2353</v>
      </c>
      <c r="K395" s="789">
        <v>44743</v>
      </c>
      <c r="L395" s="399">
        <v>0</v>
      </c>
      <c r="M395" s="399">
        <v>0</v>
      </c>
      <c r="N395" s="399">
        <v>0</v>
      </c>
      <c r="O395" s="399">
        <v>0</v>
      </c>
      <c r="P395" s="399">
        <v>0</v>
      </c>
      <c r="Q395" s="399">
        <v>0</v>
      </c>
      <c r="R395" s="399"/>
      <c r="S395" s="399"/>
      <c r="T395" s="399"/>
      <c r="U395" s="399"/>
      <c r="V395" s="399"/>
      <c r="W395" s="399"/>
      <c r="X395" s="399"/>
      <c r="Y395" s="399"/>
      <c r="Z395" s="399"/>
      <c r="AA395" s="399">
        <v>0</v>
      </c>
      <c r="AB395" s="399"/>
      <c r="AC395" s="399"/>
      <c r="AD395" s="399"/>
      <c r="AE395" s="399"/>
      <c r="AF395" s="399"/>
      <c r="AG395" s="399"/>
      <c r="AH395" s="399"/>
      <c r="AI395" s="399"/>
      <c r="AJ395" s="399"/>
      <c r="AK395" s="399"/>
      <c r="AL395" s="399"/>
      <c r="AM395" s="399"/>
      <c r="AN395" s="399"/>
      <c r="AO395" s="399"/>
      <c r="AP395" s="399"/>
      <c r="AQ395" s="399"/>
      <c r="AR395" s="399"/>
      <c r="AS395" s="399"/>
      <c r="AT395" s="399"/>
      <c r="AU395" s="399"/>
      <c r="AV395" s="399"/>
      <c r="AW395" s="399"/>
      <c r="AX395" s="399"/>
      <c r="AY395" s="399"/>
      <c r="AZ395" s="399">
        <v>0</v>
      </c>
      <c r="BA395" s="399"/>
      <c r="BB395" s="399"/>
      <c r="BC395" s="399"/>
      <c r="BD395" s="399"/>
      <c r="BE395" s="399"/>
      <c r="BF395" s="399"/>
      <c r="BG395" s="399"/>
      <c r="BH395" s="399"/>
      <c r="BI395" s="399">
        <v>0</v>
      </c>
      <c r="BJ395" s="399">
        <v>0</v>
      </c>
      <c r="BK395" s="399">
        <v>98.68</v>
      </c>
      <c r="BL395" s="399">
        <v>1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/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/>
      <c r="CJ395" s="399">
        <v>-0.03</v>
      </c>
      <c r="CK395" s="399"/>
      <c r="CL395" s="399"/>
      <c r="CM395" s="399"/>
      <c r="CN395" s="399"/>
      <c r="CO395" s="399">
        <v>0</v>
      </c>
      <c r="CP395" s="399">
        <v>0</v>
      </c>
      <c r="CQ395" s="399">
        <v>31</v>
      </c>
      <c r="CR395" s="399"/>
      <c r="CS395" s="399"/>
      <c r="CT395" s="399"/>
      <c r="CU395" s="399"/>
      <c r="CV395" s="399"/>
      <c r="CW395" s="399"/>
      <c r="CX395" s="399"/>
      <c r="CY395" s="399"/>
      <c r="CZ395" s="399"/>
      <c r="DA395" s="399"/>
      <c r="DB395" s="399"/>
      <c r="DC395" s="399"/>
      <c r="DD395" s="399"/>
      <c r="DE395" s="399"/>
      <c r="DF395" s="399"/>
      <c r="DG395" s="399"/>
      <c r="DH395" s="399"/>
      <c r="DI395" s="399"/>
      <c r="DJ395" s="399"/>
      <c r="DK395" s="399">
        <v>0</v>
      </c>
      <c r="DL395" s="399"/>
      <c r="DM395" s="399"/>
      <c r="DN395" s="399"/>
      <c r="DO395" s="399"/>
      <c r="DP395" s="399"/>
      <c r="DQ395" s="399"/>
      <c r="DR395" s="399"/>
      <c r="DS395" s="399"/>
      <c r="DT395" s="399"/>
      <c r="DU395" s="399"/>
      <c r="DV395" s="399"/>
      <c r="DW395" s="399"/>
      <c r="DX395" s="399"/>
      <c r="DY395" s="399"/>
      <c r="DZ395" s="399"/>
      <c r="EA395" s="399"/>
      <c r="EB395" s="399"/>
      <c r="EC395" s="399"/>
      <c r="ED395" s="399"/>
      <c r="EE395" s="399"/>
      <c r="EF395" s="399"/>
      <c r="EG395" s="399"/>
      <c r="EH395" s="399"/>
      <c r="EI395" s="399"/>
      <c r="EJ395" s="399"/>
      <c r="EK395" s="399"/>
      <c r="EL395" s="399"/>
      <c r="EM395" s="399"/>
      <c r="EN395" s="399"/>
      <c r="EO395" s="399"/>
      <c r="EP395" s="399"/>
      <c r="EQ395" s="399"/>
      <c r="ER395" s="399"/>
      <c r="ES395" s="399"/>
      <c r="ET395" s="399"/>
      <c r="EU395" s="399"/>
      <c r="EV395" s="399">
        <v>216</v>
      </c>
      <c r="EW395" s="399"/>
      <c r="EX395" s="399"/>
      <c r="EY395" s="399"/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396</v>
      </c>
      <c r="B396" s="399" t="s">
        <v>954</v>
      </c>
      <c r="C396" s="399" t="s">
        <v>2361</v>
      </c>
      <c r="D396" s="399" t="s">
        <v>1824</v>
      </c>
      <c r="E396" s="399" t="s">
        <v>916</v>
      </c>
      <c r="F396" s="399" t="s">
        <v>1237</v>
      </c>
      <c r="G396" s="399" t="s">
        <v>1237</v>
      </c>
      <c r="H396" s="399" t="s">
        <v>1237</v>
      </c>
      <c r="I396" s="399" t="s">
        <v>2362</v>
      </c>
      <c r="J396" s="399" t="s">
        <v>2353</v>
      </c>
      <c r="K396" s="789">
        <v>44743</v>
      </c>
      <c r="L396" s="399">
        <v>0</v>
      </c>
      <c r="M396" s="399">
        <v>0</v>
      </c>
      <c r="N396" s="399">
        <v>5.1999999999999998E-2</v>
      </c>
      <c r="O396" s="399">
        <v>5.1999999999999998E-2</v>
      </c>
      <c r="P396" s="399">
        <v>5.1999999999999998E-2</v>
      </c>
      <c r="Q396" s="399">
        <v>5.1999999999999998E-2</v>
      </c>
      <c r="R396" s="399"/>
      <c r="S396" s="399">
        <v>782.07</v>
      </c>
      <c r="T396" s="399">
        <v>215.17</v>
      </c>
      <c r="U396" s="399"/>
      <c r="V396" s="399">
        <v>51.856479999999998</v>
      </c>
      <c r="W396" s="399">
        <v>51.856479999999998</v>
      </c>
      <c r="X396" s="399">
        <v>41.595320000000001</v>
      </c>
      <c r="Y396" s="399">
        <v>0</v>
      </c>
      <c r="Z396" s="399">
        <v>3.1765031008977345</v>
      </c>
      <c r="AA396" s="399">
        <v>0</v>
      </c>
      <c r="AB396" s="399">
        <v>0</v>
      </c>
      <c r="AC396" s="399">
        <v>0</v>
      </c>
      <c r="AD396" s="399">
        <v>9.6144963196870119</v>
      </c>
      <c r="AE396" s="399">
        <v>27.212509039628795</v>
      </c>
      <c r="AF396" s="399">
        <v>10.959620754402373</v>
      </c>
      <c r="AG396" s="399">
        <v>0.22916267061879411</v>
      </c>
      <c r="AH396" s="399">
        <v>0</v>
      </c>
      <c r="AI396" s="399">
        <v>0</v>
      </c>
      <c r="AJ396" s="399">
        <v>0</v>
      </c>
      <c r="AK396" s="399">
        <v>0</v>
      </c>
      <c r="AL396" s="399">
        <v>0.49085121058429665</v>
      </c>
      <c r="AM396" s="399"/>
      <c r="AN396" s="399">
        <v>6.1224668899701316E-2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0.11190059624761263</v>
      </c>
      <c r="BH396" s="399">
        <v>0</v>
      </c>
      <c r="BI396" s="399">
        <v>0</v>
      </c>
      <c r="BJ396" s="399">
        <v>0</v>
      </c>
      <c r="BK396" s="399">
        <v>0</v>
      </c>
      <c r="BL396" s="399">
        <v>0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11.071521350649986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39.9955</v>
      </c>
      <c r="CJ396" s="399">
        <v>-11.890979999999992</v>
      </c>
      <c r="CK396" s="399"/>
      <c r="CL396" s="399"/>
      <c r="CM396" s="399"/>
      <c r="CN396" s="399"/>
      <c r="CO396" s="399">
        <v>-11.674520000000005</v>
      </c>
      <c r="CP396" s="399">
        <v>1.4133600000000004</v>
      </c>
      <c r="CQ396" s="399">
        <v>31</v>
      </c>
      <c r="CR396" s="399">
        <v>1.6791883104818162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0.40017631555350874</v>
      </c>
      <c r="DA396" s="399">
        <v>0</v>
      </c>
      <c r="DB396" s="399">
        <v>0</v>
      </c>
      <c r="DC396" s="399">
        <v>1.4133332241161636</v>
      </c>
      <c r="DD396" s="399">
        <v>0</v>
      </c>
      <c r="DE396" s="399">
        <v>0</v>
      </c>
      <c r="DF396" s="399">
        <v>0</v>
      </c>
      <c r="DG396" s="399">
        <v>1.4430502114923457E-2</v>
      </c>
      <c r="DH396" s="399">
        <v>0</v>
      </c>
      <c r="DI396" s="399">
        <v>-0.12915343126208656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-1.5606878594604967E-2</v>
      </c>
      <c r="DP396" s="399">
        <v>-3.9914214460889663E-3</v>
      </c>
      <c r="DQ396" s="399">
        <v>0</v>
      </c>
      <c r="DR396" s="399">
        <v>0</v>
      </c>
      <c r="DS396" s="399"/>
      <c r="DT396" s="399"/>
      <c r="DU396" s="399"/>
      <c r="DV396" s="399">
        <v>27.212509039628795</v>
      </c>
      <c r="DW396" s="399">
        <v>0</v>
      </c>
      <c r="DX396" s="399">
        <v>0</v>
      </c>
      <c r="DY396" s="399">
        <v>-11.674520000000001</v>
      </c>
      <c r="DZ396" s="399">
        <v>1.4133600000000008</v>
      </c>
      <c r="EA396" s="399">
        <v>0</v>
      </c>
      <c r="EB396" s="399">
        <v>0</v>
      </c>
      <c r="EC396" s="399">
        <v>-11.940095354150445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216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397</v>
      </c>
      <c r="B397" s="399" t="s">
        <v>954</v>
      </c>
      <c r="C397" s="399" t="s">
        <v>2352</v>
      </c>
      <c r="D397" s="399" t="s">
        <v>2363</v>
      </c>
      <c r="E397" s="399" t="s">
        <v>892</v>
      </c>
      <c r="F397" s="399" t="s">
        <v>1237</v>
      </c>
      <c r="G397" s="399" t="s">
        <v>1237</v>
      </c>
      <c r="H397" s="399" t="s">
        <v>1237</v>
      </c>
      <c r="I397" s="399" t="s">
        <v>1237</v>
      </c>
      <c r="J397" s="399" t="s">
        <v>2353</v>
      </c>
      <c r="K397" s="789">
        <v>44743</v>
      </c>
      <c r="L397" s="399">
        <v>0</v>
      </c>
      <c r="M397" s="399">
        <v>0</v>
      </c>
      <c r="N397" s="399">
        <v>348.16500000000002</v>
      </c>
      <c r="O397" s="399">
        <v>348.16500000000002</v>
      </c>
      <c r="P397" s="399">
        <v>348.16500000000002</v>
      </c>
      <c r="Q397" s="399">
        <v>348.16500000000002</v>
      </c>
      <c r="R397" s="399"/>
      <c r="S397" s="399">
        <v>415.98</v>
      </c>
      <c r="T397" s="399">
        <v>215.17</v>
      </c>
      <c r="U397" s="399"/>
      <c r="V397" s="399">
        <v>219744.33975000001</v>
      </c>
      <c r="W397" s="399">
        <v>219744.33975000001</v>
      </c>
      <c r="X397" s="399">
        <v>190982.42910000001</v>
      </c>
      <c r="Y397" s="399">
        <v>0</v>
      </c>
      <c r="Z397" s="399">
        <v>21268.215425462688</v>
      </c>
      <c r="AA397" s="399">
        <v>0</v>
      </c>
      <c r="AB397" s="399">
        <v>0</v>
      </c>
      <c r="AC397" s="399">
        <v>0</v>
      </c>
      <c r="AD397" s="399">
        <v>31096.558007246607</v>
      </c>
      <c r="AE397" s="399">
        <v>88019.764876427653</v>
      </c>
      <c r="AF397" s="399">
        <v>73379.929999163505</v>
      </c>
      <c r="AG397" s="399">
        <v>1534.3542541537013</v>
      </c>
      <c r="AH397" s="399">
        <v>0</v>
      </c>
      <c r="AI397" s="399">
        <v>0</v>
      </c>
      <c r="AJ397" s="399">
        <v>0</v>
      </c>
      <c r="AK397" s="399">
        <v>0</v>
      </c>
      <c r="AL397" s="399">
        <v>3286.484841020801</v>
      </c>
      <c r="AM397" s="399"/>
      <c r="AN397" s="399">
        <v>409.92859322047138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749.22829024134717</v>
      </c>
      <c r="BH397" s="399">
        <v>0</v>
      </c>
      <c r="BI397" s="399">
        <v>0</v>
      </c>
      <c r="BJ397" s="399">
        <v>0</v>
      </c>
      <c r="BK397" s="399">
        <v>28571.08</v>
      </c>
      <c r="BL397" s="399">
        <v>1534</v>
      </c>
      <c r="BM397" s="399"/>
      <c r="BN397" s="399"/>
      <c r="BO397" s="399"/>
      <c r="BP397" s="399"/>
      <c r="BQ397" s="399"/>
      <c r="BR397" s="399">
        <v>22916.220300000001</v>
      </c>
      <c r="BS397" s="399"/>
      <c r="BT397" s="399"/>
      <c r="BU397" s="399"/>
      <c r="BV397" s="399">
        <v>74129.158289404848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168068.62239999999</v>
      </c>
      <c r="CJ397" s="399">
        <v>-25305.730250000022</v>
      </c>
      <c r="CK397" s="399"/>
      <c r="CL397" s="399"/>
      <c r="CM397" s="399"/>
      <c r="CN397" s="399"/>
      <c r="CO397" s="399">
        <v>-38225.035350000013</v>
      </c>
      <c r="CP397" s="399">
        <v>9463.1247000000021</v>
      </c>
      <c r="CQ397" s="399">
        <v>31</v>
      </c>
      <c r="CR397" s="399">
        <v>9857.9068122766039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1294.3065966186259</v>
      </c>
      <c r="DA397" s="399">
        <v>0</v>
      </c>
      <c r="DB397" s="399">
        <v>0</v>
      </c>
      <c r="DC397" s="399">
        <v>9462.9454225847003</v>
      </c>
      <c r="DD397" s="399">
        <v>0</v>
      </c>
      <c r="DE397" s="399">
        <v>0</v>
      </c>
      <c r="DF397" s="399">
        <v>0</v>
      </c>
      <c r="DG397" s="399">
        <v>96.619149400813967</v>
      </c>
      <c r="DH397" s="399">
        <v>0</v>
      </c>
      <c r="DI397" s="399">
        <v>-864.74431529546564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-104.49555549789693</v>
      </c>
      <c r="DP397" s="399">
        <v>-26.724485534183941</v>
      </c>
      <c r="DQ397" s="399">
        <v>0</v>
      </c>
      <c r="DR397" s="399">
        <v>0</v>
      </c>
      <c r="DS397" s="399"/>
      <c r="DT397" s="399"/>
      <c r="DU397" s="399"/>
      <c r="DV397" s="399">
        <v>88019.764876427653</v>
      </c>
      <c r="DW397" s="399">
        <v>0</v>
      </c>
      <c r="DX397" s="399">
        <v>0</v>
      </c>
      <c r="DY397" s="399">
        <v>-38225.035350000006</v>
      </c>
      <c r="DZ397" s="399">
        <v>9463.1247000000003</v>
      </c>
      <c r="EA397" s="399">
        <v>0</v>
      </c>
      <c r="EB397" s="399">
        <v>0</v>
      </c>
      <c r="EC397" s="399">
        <v>-38620.635243297773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216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398</v>
      </c>
      <c r="B398" s="399" t="s">
        <v>2354</v>
      </c>
      <c r="C398" s="399" t="s">
        <v>2352</v>
      </c>
      <c r="D398" s="399" t="s">
        <v>2363</v>
      </c>
      <c r="E398" s="399" t="s">
        <v>892</v>
      </c>
      <c r="F398" s="399" t="s">
        <v>1237</v>
      </c>
      <c r="G398" s="399" t="s">
        <v>1237</v>
      </c>
      <c r="H398" s="399" t="s">
        <v>1237</v>
      </c>
      <c r="I398" s="399" t="s">
        <v>1237</v>
      </c>
      <c r="J398" s="399" t="s">
        <v>2353</v>
      </c>
      <c r="K398" s="789">
        <v>44743</v>
      </c>
      <c r="L398" s="399">
        <v>0</v>
      </c>
      <c r="M398" s="399">
        <v>0</v>
      </c>
      <c r="N398" s="399">
        <v>-3.19</v>
      </c>
      <c r="O398" s="399">
        <v>-3.19</v>
      </c>
      <c r="P398" s="399">
        <v>-3.19</v>
      </c>
      <c r="Q398" s="399">
        <v>-3.19</v>
      </c>
      <c r="R398" s="399"/>
      <c r="S398" s="399">
        <v>415.98</v>
      </c>
      <c r="T398" s="399">
        <v>215.17</v>
      </c>
      <c r="U398" s="399"/>
      <c r="V398" s="399">
        <v>-2013.3685</v>
      </c>
      <c r="W398" s="399">
        <v>-2013.3685</v>
      </c>
      <c r="X398" s="399">
        <v>-1749.8425999999999</v>
      </c>
      <c r="Y398" s="399">
        <v>0</v>
      </c>
      <c r="Z398" s="399">
        <v>-194.86624792045717</v>
      </c>
      <c r="AA398" s="399">
        <v>0</v>
      </c>
      <c r="AB398" s="399">
        <v>0</v>
      </c>
      <c r="AC398" s="399">
        <v>0</v>
      </c>
      <c r="AD398" s="399">
        <v>-284.91669192226868</v>
      </c>
      <c r="AE398" s="399">
        <v>-806.46546883174415</v>
      </c>
      <c r="AF398" s="399">
        <v>-672.33058089506858</v>
      </c>
      <c r="AG398" s="399">
        <v>-14.058248447576023</v>
      </c>
      <c r="AH398" s="399">
        <v>0</v>
      </c>
      <c r="AI398" s="399">
        <v>0</v>
      </c>
      <c r="AJ398" s="399">
        <v>0</v>
      </c>
      <c r="AK398" s="399">
        <v>0</v>
      </c>
      <c r="AL398" s="399">
        <v>-30.111833880075121</v>
      </c>
      <c r="AM398" s="399"/>
      <c r="AN398" s="399">
        <v>-3.7558979575009079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-6.8646711928823905</v>
      </c>
      <c r="BH398" s="399">
        <v>0</v>
      </c>
      <c r="BI398" s="399">
        <v>0</v>
      </c>
      <c r="BJ398" s="399">
        <v>0</v>
      </c>
      <c r="BK398" s="399">
        <v>-583.28</v>
      </c>
      <c r="BL398" s="399">
        <v>0</v>
      </c>
      <c r="BM398" s="399"/>
      <c r="BN398" s="399"/>
      <c r="BO398" s="399"/>
      <c r="BP398" s="399"/>
      <c r="BQ398" s="399"/>
      <c r="BR398" s="399">
        <v>-209.96579999999997</v>
      </c>
      <c r="BS398" s="399"/>
      <c r="BT398" s="399"/>
      <c r="BU398" s="399"/>
      <c r="BV398" s="399">
        <v>-679.19525208795096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-1539.8768</v>
      </c>
      <c r="CJ398" s="399">
        <v>231.85109999999986</v>
      </c>
      <c r="CK398" s="399"/>
      <c r="CL398" s="399"/>
      <c r="CM398" s="399"/>
      <c r="CN398" s="399"/>
      <c r="CO398" s="399">
        <v>350.23010000000005</v>
      </c>
      <c r="CP398" s="399">
        <v>-86.704200000000014</v>
      </c>
      <c r="CQ398" s="399">
        <v>31</v>
      </c>
      <c r="CR398" s="399">
        <v>-90.321321014927207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-11.858854402979659</v>
      </c>
      <c r="DA398" s="399">
        <v>0</v>
      </c>
      <c r="DB398" s="399">
        <v>0</v>
      </c>
      <c r="DC398" s="399">
        <v>-86.70255740251082</v>
      </c>
      <c r="DD398" s="399">
        <v>0</v>
      </c>
      <c r="DE398" s="399">
        <v>0</v>
      </c>
      <c r="DF398" s="399">
        <v>0</v>
      </c>
      <c r="DG398" s="399">
        <v>-0.88525580281934246</v>
      </c>
      <c r="DH398" s="399">
        <v>0</v>
      </c>
      <c r="DI398" s="399">
        <v>7.9230662639625962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0.95742197532288031</v>
      </c>
      <c r="DP398" s="399">
        <v>0.24485835409661183</v>
      </c>
      <c r="DQ398" s="399">
        <v>0</v>
      </c>
      <c r="DR398" s="399">
        <v>0</v>
      </c>
      <c r="DS398" s="399"/>
      <c r="DT398" s="399"/>
      <c r="DU398" s="399"/>
      <c r="DV398" s="399">
        <v>-806.46546883174415</v>
      </c>
      <c r="DW398" s="399">
        <v>0</v>
      </c>
      <c r="DX398" s="399">
        <v>0</v>
      </c>
      <c r="DY398" s="399">
        <v>350.23010000000011</v>
      </c>
      <c r="DZ398" s="399">
        <v>-86.704200000000014</v>
      </c>
      <c r="EA398" s="399">
        <v>0</v>
      </c>
      <c r="EB398" s="399">
        <v>0</v>
      </c>
      <c r="EC398" s="399">
        <v>353.85471378834717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216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399</v>
      </c>
      <c r="B399" s="399" t="s">
        <v>2355</v>
      </c>
      <c r="C399" s="399" t="s">
        <v>2352</v>
      </c>
      <c r="D399" s="399" t="s">
        <v>2363</v>
      </c>
      <c r="E399" s="399" t="s">
        <v>892</v>
      </c>
      <c r="F399" s="399" t="s">
        <v>1237</v>
      </c>
      <c r="G399" s="399" t="s">
        <v>1237</v>
      </c>
      <c r="H399" s="399" t="s">
        <v>1237</v>
      </c>
      <c r="I399" s="399" t="s">
        <v>1237</v>
      </c>
      <c r="J399" s="399" t="s">
        <v>2353</v>
      </c>
      <c r="K399" s="789">
        <v>44743</v>
      </c>
      <c r="L399" s="399">
        <v>0</v>
      </c>
      <c r="M399" s="399">
        <v>0</v>
      </c>
      <c r="N399" s="399">
        <v>9.1839999999999993</v>
      </c>
      <c r="O399" s="399">
        <v>9.1839999999999993</v>
      </c>
      <c r="P399" s="399">
        <v>9.1839999999999993</v>
      </c>
      <c r="Q399" s="399">
        <v>9.1839999999999993</v>
      </c>
      <c r="R399" s="399"/>
      <c r="S399" s="399">
        <v>415.98</v>
      </c>
      <c r="T399" s="399">
        <v>215.17</v>
      </c>
      <c r="U399" s="399"/>
      <c r="V399" s="399">
        <v>5796.4815999999992</v>
      </c>
      <c r="W399" s="399">
        <v>5796.4815999999992</v>
      </c>
      <c r="X399" s="399">
        <v>5037.7913599999993</v>
      </c>
      <c r="Y399" s="399">
        <v>0</v>
      </c>
      <c r="Z399" s="399">
        <v>561.01931689701519</v>
      </c>
      <c r="AA399" s="399">
        <v>0</v>
      </c>
      <c r="AB399" s="399">
        <v>0</v>
      </c>
      <c r="AC399" s="399">
        <v>0</v>
      </c>
      <c r="AD399" s="399">
        <v>820.27426288843742</v>
      </c>
      <c r="AE399" s="399">
        <v>2321.811556661673</v>
      </c>
      <c r="AF399" s="399">
        <v>1935.6376347775265</v>
      </c>
      <c r="AG399" s="399">
        <v>40.473653210827024</v>
      </c>
      <c r="AH399" s="399">
        <v>0</v>
      </c>
      <c r="AI399" s="399">
        <v>0</v>
      </c>
      <c r="AJ399" s="399">
        <v>0</v>
      </c>
      <c r="AK399" s="399">
        <v>0</v>
      </c>
      <c r="AL399" s="399">
        <v>86.691875346272695</v>
      </c>
      <c r="AM399" s="399"/>
      <c r="AN399" s="399">
        <v>10.813218445670325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19.763366844962967</v>
      </c>
      <c r="BH399" s="399">
        <v>0</v>
      </c>
      <c r="BI399" s="399">
        <v>0</v>
      </c>
      <c r="BJ399" s="399">
        <v>0</v>
      </c>
      <c r="BK399" s="399">
        <v>1728.38</v>
      </c>
      <c r="BL399" s="399">
        <v>25</v>
      </c>
      <c r="BM399" s="399"/>
      <c r="BN399" s="399"/>
      <c r="BO399" s="399"/>
      <c r="BP399" s="399"/>
      <c r="BQ399" s="399"/>
      <c r="BR399" s="399">
        <v>604.49087999999983</v>
      </c>
      <c r="BS399" s="399"/>
      <c r="BT399" s="399"/>
      <c r="BU399" s="399"/>
      <c r="BV399" s="399">
        <v>1955.4010016224895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4431.3696</v>
      </c>
      <c r="CJ399" s="399">
        <v>-669.54584000000068</v>
      </c>
      <c r="CK399" s="399"/>
      <c r="CL399" s="399"/>
      <c r="CM399" s="399"/>
      <c r="CN399" s="399"/>
      <c r="CO399" s="399">
        <v>-1008.3113600000001</v>
      </c>
      <c r="CP399" s="399">
        <v>249.62112000000005</v>
      </c>
      <c r="CQ399" s="399">
        <v>31</v>
      </c>
      <c r="CR399" s="399">
        <v>260.03480006303926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34.141604651086254</v>
      </c>
      <c r="DA399" s="399">
        <v>0</v>
      </c>
      <c r="DB399" s="399">
        <v>0</v>
      </c>
      <c r="DC399" s="399">
        <v>249.61639096697786</v>
      </c>
      <c r="DD399" s="399">
        <v>0</v>
      </c>
      <c r="DE399" s="399">
        <v>0</v>
      </c>
      <c r="DF399" s="399">
        <v>0</v>
      </c>
      <c r="DG399" s="399">
        <v>2.5486486812203282</v>
      </c>
      <c r="DH399" s="399">
        <v>0</v>
      </c>
      <c r="DI399" s="399">
        <v>-22.810482936749963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-2.7564148656317684</v>
      </c>
      <c r="DP399" s="399">
        <v>-0.70494643386309797</v>
      </c>
      <c r="DQ399" s="399">
        <v>0</v>
      </c>
      <c r="DR399" s="399">
        <v>0</v>
      </c>
      <c r="DS399" s="399"/>
      <c r="DT399" s="399"/>
      <c r="DU399" s="399"/>
      <c r="DV399" s="399">
        <v>2321.811556661673</v>
      </c>
      <c r="DW399" s="399">
        <v>0</v>
      </c>
      <c r="DX399" s="399">
        <v>0</v>
      </c>
      <c r="DY399" s="399">
        <v>-1008.3113600000001</v>
      </c>
      <c r="DZ399" s="399">
        <v>249.62111999999979</v>
      </c>
      <c r="EA399" s="399">
        <v>0</v>
      </c>
      <c r="EB399" s="399">
        <v>0</v>
      </c>
      <c r="EC399" s="399">
        <v>-1018.7466117342256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216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400</v>
      </c>
      <c r="B400" s="399" t="s">
        <v>954</v>
      </c>
      <c r="C400" s="399" t="s">
        <v>2352</v>
      </c>
      <c r="D400" s="399" t="s">
        <v>1824</v>
      </c>
      <c r="E400" s="399" t="s">
        <v>2364</v>
      </c>
      <c r="F400" s="399" t="s">
        <v>1237</v>
      </c>
      <c r="G400" s="399" t="s">
        <v>1237</v>
      </c>
      <c r="H400" s="399" t="s">
        <v>1237</v>
      </c>
      <c r="I400" s="399" t="s">
        <v>1237</v>
      </c>
      <c r="J400" s="399" t="s">
        <v>2353</v>
      </c>
      <c r="K400" s="789">
        <v>44743</v>
      </c>
      <c r="L400" s="399">
        <v>0</v>
      </c>
      <c r="M400" s="399">
        <v>0</v>
      </c>
      <c r="N400" s="399">
        <v>26.992999999999999</v>
      </c>
      <c r="O400" s="399">
        <v>26.992999999999999</v>
      </c>
      <c r="P400" s="399">
        <v>26.992999999999999</v>
      </c>
      <c r="Q400" s="399">
        <v>26.992999999999999</v>
      </c>
      <c r="R400" s="399"/>
      <c r="S400" s="399">
        <v>415.98</v>
      </c>
      <c r="T400" s="399">
        <v>215.17</v>
      </c>
      <c r="U400" s="399"/>
      <c r="V400" s="399">
        <v>17036.631949999999</v>
      </c>
      <c r="W400" s="399">
        <v>17036.631949999999</v>
      </c>
      <c r="X400" s="399">
        <v>14806.74022</v>
      </c>
      <c r="Y400" s="399">
        <v>0</v>
      </c>
      <c r="Z400" s="399">
        <v>1648.9105423563951</v>
      </c>
      <c r="AA400" s="399">
        <v>0</v>
      </c>
      <c r="AB400" s="399">
        <v>0</v>
      </c>
      <c r="AC400" s="399">
        <v>0</v>
      </c>
      <c r="AD400" s="399">
        <v>2410.8953808958613</v>
      </c>
      <c r="AE400" s="399">
        <v>6824.1136050706164</v>
      </c>
      <c r="AF400" s="399">
        <v>5689.096981222754</v>
      </c>
      <c r="AG400" s="399">
        <v>118.95746092332902</v>
      </c>
      <c r="AH400" s="399">
        <v>0</v>
      </c>
      <c r="AI400" s="399">
        <v>0</v>
      </c>
      <c r="AJ400" s="399">
        <v>0</v>
      </c>
      <c r="AK400" s="399">
        <v>0</v>
      </c>
      <c r="AL400" s="399">
        <v>254.79897552503689</v>
      </c>
      <c r="AM400" s="399"/>
      <c r="AN400" s="399">
        <v>31.781490146339184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58.087169125227071</v>
      </c>
      <c r="BH400" s="399">
        <v>0</v>
      </c>
      <c r="BI400" s="399">
        <v>0</v>
      </c>
      <c r="BJ400" s="399">
        <v>0</v>
      </c>
      <c r="BK400" s="399">
        <v>2500.96</v>
      </c>
      <c r="BL400" s="399">
        <v>51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>
        <v>5747.1841503479809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14805.094599999997</v>
      </c>
      <c r="CJ400" s="399">
        <v>-2231.5673500000012</v>
      </c>
      <c r="CK400" s="399"/>
      <c r="CL400" s="399"/>
      <c r="CM400" s="399"/>
      <c r="CN400" s="399"/>
      <c r="CO400" s="399">
        <v>-2963.5614700000006</v>
      </c>
      <c r="CP400" s="399">
        <v>733.66974000000016</v>
      </c>
      <c r="CQ400" s="399">
        <v>31</v>
      </c>
      <c r="CR400" s="399">
        <v>764.27693359120349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100.34672630082468</v>
      </c>
      <c r="DA400" s="399">
        <v>0</v>
      </c>
      <c r="DB400" s="399">
        <v>0</v>
      </c>
      <c r="DC400" s="399">
        <v>733.6558407416851</v>
      </c>
      <c r="DD400" s="399">
        <v>0</v>
      </c>
      <c r="DE400" s="399">
        <v>0</v>
      </c>
      <c r="DF400" s="399">
        <v>0</v>
      </c>
      <c r="DG400" s="399">
        <v>7.4908181459255516</v>
      </c>
      <c r="DH400" s="399">
        <v>0</v>
      </c>
      <c r="DI400" s="399">
        <v>-67.043049424182755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-8.101470652003286</v>
      </c>
      <c r="DP400" s="399">
        <v>-2.0719315210438332</v>
      </c>
      <c r="DQ400" s="399">
        <v>0</v>
      </c>
      <c r="DR400" s="399">
        <v>0</v>
      </c>
      <c r="DS400" s="399"/>
      <c r="DT400" s="399"/>
      <c r="DU400" s="399"/>
      <c r="DV400" s="399">
        <v>6824.1136050706164</v>
      </c>
      <c r="DW400" s="399">
        <v>0</v>
      </c>
      <c r="DX400" s="399">
        <v>0</v>
      </c>
      <c r="DY400" s="399">
        <v>-2963.5614700000006</v>
      </c>
      <c r="DZ400" s="399">
        <v>733.66974000000027</v>
      </c>
      <c r="EA400" s="399">
        <v>0</v>
      </c>
      <c r="EB400" s="399">
        <v>0</v>
      </c>
      <c r="EC400" s="399">
        <v>-2994.2320656077904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0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216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401</v>
      </c>
      <c r="B401" s="399" t="s">
        <v>954</v>
      </c>
      <c r="C401" s="399" t="s">
        <v>2352</v>
      </c>
      <c r="D401" s="399" t="s">
        <v>2365</v>
      </c>
      <c r="E401" s="399" t="s">
        <v>2366</v>
      </c>
      <c r="F401" s="399" t="s">
        <v>2367</v>
      </c>
      <c r="G401" s="399" t="s">
        <v>1237</v>
      </c>
      <c r="H401" s="399" t="s">
        <v>1237</v>
      </c>
      <c r="I401" s="399" t="s">
        <v>1237</v>
      </c>
      <c r="J401" s="399" t="s">
        <v>2353</v>
      </c>
      <c r="K401" s="789">
        <v>44743</v>
      </c>
      <c r="L401" s="399">
        <v>0</v>
      </c>
      <c r="M401" s="399">
        <v>0</v>
      </c>
      <c r="N401" s="399">
        <v>117.774</v>
      </c>
      <c r="O401" s="399">
        <v>117.774</v>
      </c>
      <c r="P401" s="399">
        <v>117.774</v>
      </c>
      <c r="Q401" s="399">
        <v>117.774</v>
      </c>
      <c r="R401" s="399"/>
      <c r="S401" s="399">
        <v>228.79</v>
      </c>
      <c r="T401" s="399">
        <v>118.34</v>
      </c>
      <c r="U401" s="399"/>
      <c r="V401" s="399">
        <v>40882.888619999998</v>
      </c>
      <c r="W401" s="399">
        <v>40882.888619999998</v>
      </c>
      <c r="X401" s="399">
        <v>35531.238059999996</v>
      </c>
      <c r="Y401" s="399">
        <v>0</v>
      </c>
      <c r="Z401" s="399">
        <v>3956.9271521696351</v>
      </c>
      <c r="AA401" s="399">
        <v>0</v>
      </c>
      <c r="AB401" s="399">
        <v>0</v>
      </c>
      <c r="AC401" s="399">
        <v>0</v>
      </c>
      <c r="AD401" s="399">
        <v>5785.4790473195362</v>
      </c>
      <c r="AE401" s="399">
        <v>16375.976573481035</v>
      </c>
      <c r="AF401" s="399">
        <v>13652.252040402662</v>
      </c>
      <c r="AG401" s="399">
        <v>285.4648539077279</v>
      </c>
      <c r="AH401" s="399">
        <v>0</v>
      </c>
      <c r="AI401" s="399">
        <v>0</v>
      </c>
      <c r="AJ401" s="399">
        <v>0</v>
      </c>
      <c r="AK401" s="399">
        <v>0</v>
      </c>
      <c r="AL401" s="399">
        <v>611.44674541240863</v>
      </c>
      <c r="AM401" s="399"/>
      <c r="AN401" s="399">
        <v>76.266745870123046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139.39306639147009</v>
      </c>
      <c r="BH401" s="399">
        <v>0</v>
      </c>
      <c r="BI401" s="399">
        <v>0</v>
      </c>
      <c r="BJ401" s="399">
        <v>0</v>
      </c>
      <c r="BK401" s="399">
        <v>7277.49</v>
      </c>
      <c r="BL401" s="399">
        <v>87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13791.645106794133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35530.031300000002</v>
      </c>
      <c r="CJ401" s="399">
        <v>-5352.8873199999944</v>
      </c>
      <c r="CK401" s="399"/>
      <c r="CL401" s="399"/>
      <c r="CM401" s="399"/>
      <c r="CN401" s="399"/>
      <c r="CO401" s="399">
        <v>-7112.3718599999984</v>
      </c>
      <c r="CP401" s="399">
        <v>1760.7212999999986</v>
      </c>
      <c r="CQ401" s="399">
        <v>31</v>
      </c>
      <c r="CR401" s="399">
        <v>1834.0522864159575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240.80426180284303</v>
      </c>
      <c r="DA401" s="399">
        <v>0</v>
      </c>
      <c r="DB401" s="399">
        <v>0</v>
      </c>
      <c r="DC401" s="399">
        <v>1760.5701716420244</v>
      </c>
      <c r="DD401" s="399">
        <v>0</v>
      </c>
      <c r="DE401" s="399">
        <v>0</v>
      </c>
      <c r="DF401" s="399">
        <v>0</v>
      </c>
      <c r="DG401" s="399">
        <v>17.975882227801975</v>
      </c>
      <c r="DH401" s="399">
        <v>0</v>
      </c>
      <c r="DI401" s="399">
        <v>-160.88469071929194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-19.441278572703709</v>
      </c>
      <c r="DP401" s="399">
        <v>-4.9720599647199464</v>
      </c>
      <c r="DQ401" s="399">
        <v>0</v>
      </c>
      <c r="DR401" s="399">
        <v>0</v>
      </c>
      <c r="DS401" s="399"/>
      <c r="DT401" s="399"/>
      <c r="DU401" s="399"/>
      <c r="DV401" s="399">
        <v>16375.976573481035</v>
      </c>
      <c r="DW401" s="399">
        <v>0</v>
      </c>
      <c r="DX401" s="399">
        <v>0</v>
      </c>
      <c r="DY401" s="399">
        <v>-7112.3718599999993</v>
      </c>
      <c r="DZ401" s="399">
        <v>1760.7212999999974</v>
      </c>
      <c r="EA401" s="399">
        <v>0</v>
      </c>
      <c r="EB401" s="399">
        <v>0</v>
      </c>
      <c r="EC401" s="399">
        <v>-7185.3250106394735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216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402</v>
      </c>
      <c r="B402" s="399" t="s">
        <v>954</v>
      </c>
      <c r="C402" s="399" t="s">
        <v>2352</v>
      </c>
      <c r="D402" s="399" t="s">
        <v>1824</v>
      </c>
      <c r="E402" s="399" t="s">
        <v>919</v>
      </c>
      <c r="F402" s="399" t="s">
        <v>2368</v>
      </c>
      <c r="G402" s="399" t="s">
        <v>1237</v>
      </c>
      <c r="H402" s="399" t="s">
        <v>1237</v>
      </c>
      <c r="I402" s="399" t="s">
        <v>1237</v>
      </c>
      <c r="J402" s="399" t="s">
        <v>2353</v>
      </c>
      <c r="K402" s="789">
        <v>44743</v>
      </c>
      <c r="L402" s="399">
        <v>0</v>
      </c>
      <c r="M402" s="399">
        <v>0</v>
      </c>
      <c r="N402" s="399">
        <v>19.311</v>
      </c>
      <c r="O402" s="399">
        <v>18.152339999999999</v>
      </c>
      <c r="P402" s="399">
        <v>19.311</v>
      </c>
      <c r="Q402" s="399">
        <v>18.152339999999999</v>
      </c>
      <c r="R402" s="399"/>
      <c r="S402" s="399">
        <v>415.98</v>
      </c>
      <c r="T402" s="399">
        <v>215.17</v>
      </c>
      <c r="U402" s="399"/>
      <c r="V402" s="399">
        <v>12188.137650000001</v>
      </c>
      <c r="W402" s="399">
        <v>12188.137650000001</v>
      </c>
      <c r="X402" s="399">
        <v>10592.855939999999</v>
      </c>
      <c r="Y402" s="399">
        <v>0</v>
      </c>
      <c r="Z402" s="399">
        <v>1179.6432957968491</v>
      </c>
      <c r="AA402" s="399">
        <v>0</v>
      </c>
      <c r="AB402" s="399">
        <v>0</v>
      </c>
      <c r="AC402" s="399">
        <v>0</v>
      </c>
      <c r="AD402" s="399">
        <v>1724.7731152698841</v>
      </c>
      <c r="AE402" s="399">
        <v>4882.023407087715</v>
      </c>
      <c r="AF402" s="399">
        <v>4070.0237766973887</v>
      </c>
      <c r="AG402" s="399">
        <v>85.103083313837175</v>
      </c>
      <c r="AH402" s="399">
        <v>0</v>
      </c>
      <c r="AI402" s="399">
        <v>0</v>
      </c>
      <c r="AJ402" s="399">
        <v>0</v>
      </c>
      <c r="AK402" s="399">
        <v>0</v>
      </c>
      <c r="AL402" s="399">
        <v>182.28514860756448</v>
      </c>
      <c r="AM402" s="399"/>
      <c r="AN402" s="399">
        <v>22.736722713887158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41.556007964185532</v>
      </c>
      <c r="BH402" s="399">
        <v>0</v>
      </c>
      <c r="BI402" s="399">
        <v>0</v>
      </c>
      <c r="BJ402" s="399">
        <v>0</v>
      </c>
      <c r="BK402" s="399">
        <v>2169.62</v>
      </c>
      <c r="BL402" s="399">
        <v>4</v>
      </c>
      <c r="BM402" s="399"/>
      <c r="BN402" s="399"/>
      <c r="BO402" s="399"/>
      <c r="BP402" s="399"/>
      <c r="BQ402" s="399">
        <v>635.57135640000058</v>
      </c>
      <c r="BR402" s="399"/>
      <c r="BS402" s="399"/>
      <c r="BT402" s="399"/>
      <c r="BU402" s="399"/>
      <c r="BV402" s="399">
        <v>4111.5797846615742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9956.0009999999984</v>
      </c>
      <c r="CJ402" s="399">
        <v>-1500.878391000002</v>
      </c>
      <c r="CK402" s="399"/>
      <c r="CL402" s="399"/>
      <c r="CM402" s="399"/>
      <c r="CN402" s="399"/>
      <c r="CO402" s="399">
        <v>-2120.1546900000003</v>
      </c>
      <c r="CP402" s="399">
        <v>524.8729800000001</v>
      </c>
      <c r="CQ402" s="399">
        <v>31</v>
      </c>
      <c r="CR402" s="399">
        <v>546.76960191826765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71.788820494025231</v>
      </c>
      <c r="DA402" s="399">
        <v>0</v>
      </c>
      <c r="DB402" s="399">
        <v>0</v>
      </c>
      <c r="DC402" s="399">
        <v>524.86303636360117</v>
      </c>
      <c r="DD402" s="399">
        <v>0</v>
      </c>
      <c r="DE402" s="399">
        <v>0</v>
      </c>
      <c r="DF402" s="399">
        <v>0</v>
      </c>
      <c r="DG402" s="399">
        <v>5.35898896810167</v>
      </c>
      <c r="DH402" s="399">
        <v>0</v>
      </c>
      <c r="DI402" s="399">
        <v>-47.963113675041313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-5.7958544719310794</v>
      </c>
      <c r="DP402" s="399">
        <v>-1.4822757604889247</v>
      </c>
      <c r="DQ402" s="399">
        <v>0</v>
      </c>
      <c r="DR402" s="399">
        <v>0</v>
      </c>
      <c r="DS402" s="399"/>
      <c r="DT402" s="399"/>
      <c r="DU402" s="399"/>
      <c r="DV402" s="399">
        <v>4882.023407087715</v>
      </c>
      <c r="DW402" s="399">
        <v>0</v>
      </c>
      <c r="DX402" s="399">
        <v>0</v>
      </c>
      <c r="DY402" s="399">
        <v>-2120.1546900000003</v>
      </c>
      <c r="DZ402" s="399">
        <v>524.8729800000001</v>
      </c>
      <c r="EA402" s="399">
        <v>0</v>
      </c>
      <c r="EB402" s="399">
        <v>0</v>
      </c>
      <c r="EC402" s="399">
        <v>-2142.0966702090195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216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403</v>
      </c>
      <c r="B403" s="399" t="s">
        <v>954</v>
      </c>
      <c r="C403" s="399" t="s">
        <v>2352</v>
      </c>
      <c r="D403" s="399" t="s">
        <v>1824</v>
      </c>
      <c r="E403" s="399" t="s">
        <v>2369</v>
      </c>
      <c r="F403" s="399" t="s">
        <v>1237</v>
      </c>
      <c r="G403" s="399" t="s">
        <v>1237</v>
      </c>
      <c r="H403" s="399" t="s">
        <v>1237</v>
      </c>
      <c r="I403" s="399" t="s">
        <v>1237</v>
      </c>
      <c r="J403" s="399" t="s">
        <v>2353</v>
      </c>
      <c r="K403" s="789">
        <v>44743</v>
      </c>
      <c r="L403" s="399">
        <v>0</v>
      </c>
      <c r="M403" s="399">
        <v>0</v>
      </c>
      <c r="N403" s="399">
        <v>1.8839999999999999</v>
      </c>
      <c r="O403" s="399">
        <v>1.8839999999999999</v>
      </c>
      <c r="P403" s="399">
        <v>1.8839999999999999</v>
      </c>
      <c r="Q403" s="399">
        <v>1.8839999999999999</v>
      </c>
      <c r="R403" s="399"/>
      <c r="S403" s="399">
        <v>415.98</v>
      </c>
      <c r="T403" s="399">
        <v>215.17</v>
      </c>
      <c r="U403" s="399"/>
      <c r="V403" s="399">
        <v>1189.0866000000001</v>
      </c>
      <c r="W403" s="399">
        <v>1189.0866000000001</v>
      </c>
      <c r="X403" s="399">
        <v>1033.4493599999998</v>
      </c>
      <c r="Y403" s="399">
        <v>0</v>
      </c>
      <c r="Z403" s="399">
        <v>115.08715080944869</v>
      </c>
      <c r="AA403" s="399">
        <v>0</v>
      </c>
      <c r="AB403" s="399">
        <v>0</v>
      </c>
      <c r="AC403" s="399">
        <v>0</v>
      </c>
      <c r="AD403" s="399">
        <v>168.27054783120821</v>
      </c>
      <c r="AE403" s="399">
        <v>476.29496654514287</v>
      </c>
      <c r="AF403" s="399">
        <v>397.0754904095013</v>
      </c>
      <c r="AG403" s="399">
        <v>8.3027398354963093</v>
      </c>
      <c r="AH403" s="399">
        <v>0</v>
      </c>
      <c r="AI403" s="399">
        <v>0</v>
      </c>
      <c r="AJ403" s="399">
        <v>0</v>
      </c>
      <c r="AK403" s="399">
        <v>0</v>
      </c>
      <c r="AL403" s="399">
        <v>17.783916937323362</v>
      </c>
      <c r="AM403" s="399"/>
      <c r="AN403" s="399">
        <v>2.2182168501353323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4.0542446794327347</v>
      </c>
      <c r="BH403" s="399">
        <v>0</v>
      </c>
      <c r="BI403" s="399">
        <v>0</v>
      </c>
      <c r="BJ403" s="399">
        <v>0</v>
      </c>
      <c r="BK403" s="399">
        <v>211.67</v>
      </c>
      <c r="BL403" s="399">
        <v>1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401.12973508893401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1031.2552000000001</v>
      </c>
      <c r="CJ403" s="399">
        <v>-157.8614</v>
      </c>
      <c r="CK403" s="399"/>
      <c r="CL403" s="399"/>
      <c r="CM403" s="399"/>
      <c r="CN403" s="399"/>
      <c r="CO403" s="399">
        <v>-206.84436000000002</v>
      </c>
      <c r="CP403" s="399">
        <v>51.20712000000001</v>
      </c>
      <c r="CQ403" s="399">
        <v>31</v>
      </c>
      <c r="CR403" s="399">
        <v>53.343375796903956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7.003787365270739</v>
      </c>
      <c r="DA403" s="399">
        <v>0</v>
      </c>
      <c r="DB403" s="399">
        <v>0</v>
      </c>
      <c r="DC403" s="399">
        <v>51.20614988913178</v>
      </c>
      <c r="DD403" s="399">
        <v>0</v>
      </c>
      <c r="DE403" s="399">
        <v>0</v>
      </c>
      <c r="DF403" s="399">
        <v>0</v>
      </c>
      <c r="DG403" s="399">
        <v>0.5228281920099187</v>
      </c>
      <c r="DH403" s="399">
        <v>0</v>
      </c>
      <c r="DI403" s="399">
        <v>-4.6793281634186741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-0.56544921677376436</v>
      </c>
      <c r="DP403" s="399">
        <v>-0.14461226931599258</v>
      </c>
      <c r="DQ403" s="399">
        <v>0</v>
      </c>
      <c r="DR403" s="399">
        <v>0</v>
      </c>
      <c r="DS403" s="399"/>
      <c r="DT403" s="399"/>
      <c r="DU403" s="399"/>
      <c r="DV403" s="399">
        <v>476.29496654514287</v>
      </c>
      <c r="DW403" s="399">
        <v>0</v>
      </c>
      <c r="DX403" s="399">
        <v>0</v>
      </c>
      <c r="DY403" s="399">
        <v>-206.84436000000005</v>
      </c>
      <c r="DZ403" s="399">
        <v>51.207119999999975</v>
      </c>
      <c r="EA403" s="399">
        <v>0</v>
      </c>
      <c r="EB403" s="399">
        <v>0</v>
      </c>
      <c r="EC403" s="399">
        <v>-208.98504099600183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216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404</v>
      </c>
      <c r="B404" s="399" t="s">
        <v>954</v>
      </c>
      <c r="C404" s="399" t="s">
        <v>2352</v>
      </c>
      <c r="D404" s="399" t="s">
        <v>2363</v>
      </c>
      <c r="E404" s="399" t="s">
        <v>892</v>
      </c>
      <c r="F404" s="399" t="s">
        <v>2370</v>
      </c>
      <c r="G404" s="399" t="s">
        <v>2371</v>
      </c>
      <c r="H404" s="399" t="s">
        <v>1237</v>
      </c>
      <c r="I404" s="399" t="s">
        <v>1237</v>
      </c>
      <c r="J404" s="399" t="s">
        <v>2353</v>
      </c>
      <c r="K404" s="789">
        <v>44743</v>
      </c>
      <c r="L404" s="399">
        <v>0</v>
      </c>
      <c r="M404" s="399">
        <v>0</v>
      </c>
      <c r="N404" s="399">
        <v>0</v>
      </c>
      <c r="O404" s="399">
        <v>0</v>
      </c>
      <c r="P404" s="399">
        <v>0</v>
      </c>
      <c r="Q404" s="399">
        <v>0</v>
      </c>
      <c r="R404" s="399"/>
      <c r="S404" s="399"/>
      <c r="T404" s="399"/>
      <c r="U404" s="399"/>
      <c r="V404" s="399"/>
      <c r="W404" s="399"/>
      <c r="X404" s="399"/>
      <c r="Y404" s="399"/>
      <c r="Z404" s="399"/>
      <c r="AA404" s="399">
        <v>0</v>
      </c>
      <c r="AB404" s="399"/>
      <c r="AC404" s="399"/>
      <c r="AD404" s="399"/>
      <c r="AE404" s="399"/>
      <c r="AF404" s="399"/>
      <c r="AG404" s="399"/>
      <c r="AH404" s="399"/>
      <c r="AI404" s="399"/>
      <c r="AJ404" s="399"/>
      <c r="AK404" s="399"/>
      <c r="AL404" s="399"/>
      <c r="AM404" s="399"/>
      <c r="AN404" s="399"/>
      <c r="AO404" s="399"/>
      <c r="AP404" s="399"/>
      <c r="AQ404" s="399"/>
      <c r="AR404" s="399"/>
      <c r="AS404" s="399"/>
      <c r="AT404" s="399"/>
      <c r="AU404" s="399"/>
      <c r="AV404" s="399"/>
      <c r="AW404" s="399"/>
      <c r="AX404" s="399"/>
      <c r="AY404" s="399"/>
      <c r="AZ404" s="399">
        <v>0</v>
      </c>
      <c r="BA404" s="399"/>
      <c r="BB404" s="399"/>
      <c r="BC404" s="399"/>
      <c r="BD404" s="399"/>
      <c r="BE404" s="399"/>
      <c r="BF404" s="399"/>
      <c r="BG404" s="399"/>
      <c r="BH404" s="399"/>
      <c r="BI404" s="399">
        <v>0</v>
      </c>
      <c r="BJ404" s="399">
        <v>0</v>
      </c>
      <c r="BK404" s="399">
        <v>351.82</v>
      </c>
      <c r="BL404" s="399">
        <v>10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/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/>
      <c r="CJ404" s="399">
        <v>-0.03</v>
      </c>
      <c r="CK404" s="399"/>
      <c r="CL404" s="399"/>
      <c r="CM404" s="399"/>
      <c r="CN404" s="399"/>
      <c r="CO404" s="399">
        <v>0</v>
      </c>
      <c r="CP404" s="399">
        <v>0</v>
      </c>
      <c r="CQ404" s="399">
        <v>31</v>
      </c>
      <c r="CR404" s="399"/>
      <c r="CS404" s="399"/>
      <c r="CT404" s="399"/>
      <c r="CU404" s="399"/>
      <c r="CV404" s="399"/>
      <c r="CW404" s="399"/>
      <c r="CX404" s="399"/>
      <c r="CY404" s="399"/>
      <c r="CZ404" s="399"/>
      <c r="DA404" s="399"/>
      <c r="DB404" s="399"/>
      <c r="DC404" s="399"/>
      <c r="DD404" s="399"/>
      <c r="DE404" s="399"/>
      <c r="DF404" s="399"/>
      <c r="DG404" s="399"/>
      <c r="DH404" s="399"/>
      <c r="DI404" s="399"/>
      <c r="DJ404" s="399"/>
      <c r="DK404" s="399">
        <v>0</v>
      </c>
      <c r="DL404" s="399"/>
      <c r="DM404" s="399"/>
      <c r="DN404" s="399"/>
      <c r="DO404" s="399"/>
      <c r="DP404" s="399"/>
      <c r="DQ404" s="399"/>
      <c r="DR404" s="399"/>
      <c r="DS404" s="399"/>
      <c r="DT404" s="399"/>
      <c r="DU404" s="399"/>
      <c r="DV404" s="399"/>
      <c r="DW404" s="399"/>
      <c r="DX404" s="399"/>
      <c r="DY404" s="399"/>
      <c r="DZ404" s="399"/>
      <c r="EA404" s="399"/>
      <c r="EB404" s="399"/>
      <c r="EC404" s="399"/>
      <c r="ED404" s="399"/>
      <c r="EE404" s="399"/>
      <c r="EF404" s="399"/>
      <c r="EG404" s="399"/>
      <c r="EH404" s="399"/>
      <c r="EI404" s="399"/>
      <c r="EJ404" s="399"/>
      <c r="EK404" s="399"/>
      <c r="EL404" s="399"/>
      <c r="EM404" s="399"/>
      <c r="EN404" s="399"/>
      <c r="EO404" s="399"/>
      <c r="EP404" s="399"/>
      <c r="EQ404" s="399"/>
      <c r="ER404" s="399"/>
      <c r="ES404" s="399"/>
      <c r="ET404" s="399"/>
      <c r="EU404" s="399"/>
      <c r="EV404" s="399">
        <v>216</v>
      </c>
      <c r="EW404" s="399"/>
      <c r="EX404" s="399"/>
      <c r="EY404" s="399"/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405</v>
      </c>
      <c r="B405" s="399" t="s">
        <v>954</v>
      </c>
      <c r="C405" s="399" t="s">
        <v>2352</v>
      </c>
      <c r="D405" s="399" t="s">
        <v>2363</v>
      </c>
      <c r="E405" s="399" t="s">
        <v>892</v>
      </c>
      <c r="F405" s="399" t="s">
        <v>2370</v>
      </c>
      <c r="G405" s="399" t="s">
        <v>2371</v>
      </c>
      <c r="H405" s="399" t="s">
        <v>1237</v>
      </c>
      <c r="I405" s="399" t="s">
        <v>1237</v>
      </c>
      <c r="J405" s="399" t="s">
        <v>2353</v>
      </c>
      <c r="K405" s="789">
        <v>44743</v>
      </c>
      <c r="L405" s="399">
        <v>0</v>
      </c>
      <c r="M405" s="399">
        <v>0</v>
      </c>
      <c r="N405" s="399">
        <v>1.625</v>
      </c>
      <c r="O405" s="399">
        <v>1.625</v>
      </c>
      <c r="P405" s="399">
        <v>1.625</v>
      </c>
      <c r="Q405" s="399">
        <v>1.625</v>
      </c>
      <c r="R405" s="399"/>
      <c r="S405" s="399">
        <v>415.98</v>
      </c>
      <c r="T405" s="399">
        <v>215.17</v>
      </c>
      <c r="U405" s="399"/>
      <c r="V405" s="399">
        <v>1025.6187500000001</v>
      </c>
      <c r="W405" s="399">
        <v>1025.6187500000001</v>
      </c>
      <c r="X405" s="399">
        <v>891.37749999999994</v>
      </c>
      <c r="Y405" s="399">
        <v>0</v>
      </c>
      <c r="Z405" s="399">
        <v>99.2657219030542</v>
      </c>
      <c r="AA405" s="399">
        <v>0</v>
      </c>
      <c r="AB405" s="399">
        <v>0</v>
      </c>
      <c r="AC405" s="399">
        <v>0</v>
      </c>
      <c r="AD405" s="399">
        <v>145.13781328328733</v>
      </c>
      <c r="AE405" s="399">
        <v>410.8170491697756</v>
      </c>
      <c r="AF405" s="399">
        <v>342.48814857507415</v>
      </c>
      <c r="AG405" s="399">
        <v>7.1613334568373164</v>
      </c>
      <c r="AH405" s="399">
        <v>0</v>
      </c>
      <c r="AI405" s="399">
        <v>0</v>
      </c>
      <c r="AJ405" s="399">
        <v>0</v>
      </c>
      <c r="AK405" s="399">
        <v>0</v>
      </c>
      <c r="AL405" s="399">
        <v>15.339100330759271</v>
      </c>
      <c r="AM405" s="399"/>
      <c r="AN405" s="399">
        <v>1.9132709031156663</v>
      </c>
      <c r="AO405" s="399">
        <v>0</v>
      </c>
      <c r="AP405" s="399">
        <v>0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3.496893632737895</v>
      </c>
      <c r="BH405" s="399">
        <v>0</v>
      </c>
      <c r="BI405" s="399">
        <v>0</v>
      </c>
      <c r="BJ405" s="399">
        <v>0</v>
      </c>
      <c r="BK405" s="399">
        <v>0</v>
      </c>
      <c r="BL405" s="399">
        <v>0</v>
      </c>
      <c r="BM405" s="399"/>
      <c r="BN405" s="399"/>
      <c r="BO405" s="399"/>
      <c r="BP405" s="399"/>
      <c r="BQ405" s="399"/>
      <c r="BR405" s="399">
        <v>106.95749999999998</v>
      </c>
      <c r="BS405" s="399"/>
      <c r="BT405" s="399"/>
      <c r="BU405" s="399"/>
      <c r="BV405" s="399">
        <v>345.98504220781206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786.83359999999993</v>
      </c>
      <c r="CJ405" s="399">
        <v>-115.73765000000003</v>
      </c>
      <c r="CK405" s="399"/>
      <c r="CL405" s="399"/>
      <c r="CM405" s="399"/>
      <c r="CN405" s="399"/>
      <c r="CO405" s="399">
        <v>-178.40875000000003</v>
      </c>
      <c r="CP405" s="399">
        <v>44.167500000000011</v>
      </c>
      <c r="CQ405" s="399">
        <v>31</v>
      </c>
      <c r="CR405" s="399">
        <v>46.01007731951654</v>
      </c>
      <c r="CS405" s="399">
        <v>0</v>
      </c>
      <c r="CT405" s="399">
        <v>0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6.0409524780068864</v>
      </c>
      <c r="DA405" s="399">
        <v>0</v>
      </c>
      <c r="DB405" s="399">
        <v>0</v>
      </c>
      <c r="DC405" s="399">
        <v>44.166663253630134</v>
      </c>
      <c r="DD405" s="399">
        <v>0</v>
      </c>
      <c r="DE405" s="399">
        <v>0</v>
      </c>
      <c r="DF405" s="399">
        <v>0</v>
      </c>
      <c r="DG405" s="399">
        <v>0.45095319109135756</v>
      </c>
      <c r="DH405" s="399">
        <v>0</v>
      </c>
      <c r="DI405" s="399">
        <v>-4.0360447269401902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-0.48771495608140469</v>
      </c>
      <c r="DP405" s="399">
        <v>-0.12473192019028012</v>
      </c>
      <c r="DQ405" s="399">
        <v>0</v>
      </c>
      <c r="DR405" s="399">
        <v>0</v>
      </c>
      <c r="DS405" s="399"/>
      <c r="DT405" s="399"/>
      <c r="DU405" s="399"/>
      <c r="DV405" s="399">
        <v>410.8170491697756</v>
      </c>
      <c r="DW405" s="399">
        <v>0</v>
      </c>
      <c r="DX405" s="399">
        <v>0</v>
      </c>
      <c r="DY405" s="399">
        <v>-178.40875</v>
      </c>
      <c r="DZ405" s="399">
        <v>44.167499999999961</v>
      </c>
      <c r="EA405" s="399">
        <v>0</v>
      </c>
      <c r="EB405" s="399">
        <v>0</v>
      </c>
      <c r="EC405" s="399">
        <v>-180.25514417117995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0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216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406</v>
      </c>
      <c r="B406" s="399" t="s">
        <v>954</v>
      </c>
      <c r="C406" s="399" t="s">
        <v>2352</v>
      </c>
      <c r="D406" s="399" t="s">
        <v>2363</v>
      </c>
      <c r="E406" s="399" t="s">
        <v>892</v>
      </c>
      <c r="F406" s="399" t="s">
        <v>2370</v>
      </c>
      <c r="G406" s="399" t="s">
        <v>2372</v>
      </c>
      <c r="H406" s="399" t="s">
        <v>1237</v>
      </c>
      <c r="I406" s="399" t="s">
        <v>1237</v>
      </c>
      <c r="J406" s="399" t="s">
        <v>2353</v>
      </c>
      <c r="K406" s="789">
        <v>44743</v>
      </c>
      <c r="L406" s="399">
        <v>0</v>
      </c>
      <c r="M406" s="399">
        <v>0</v>
      </c>
      <c r="N406" s="399">
        <v>0.98399999999999999</v>
      </c>
      <c r="O406" s="399">
        <v>0.39360000000000001</v>
      </c>
      <c r="P406" s="399">
        <v>0.98399999999999999</v>
      </c>
      <c r="Q406" s="399">
        <v>0.39360000000000001</v>
      </c>
      <c r="R406" s="399"/>
      <c r="S406" s="399">
        <v>415.98</v>
      </c>
      <c r="T406" s="399">
        <v>215.17</v>
      </c>
      <c r="U406" s="399"/>
      <c r="V406" s="399">
        <v>621.05160000000001</v>
      </c>
      <c r="W406" s="399">
        <v>621.05160000000001</v>
      </c>
      <c r="X406" s="399">
        <v>539.76335999999992</v>
      </c>
      <c r="Y406" s="399">
        <v>0</v>
      </c>
      <c r="Z406" s="399">
        <v>60.10921252468021</v>
      </c>
      <c r="AA406" s="399">
        <v>0</v>
      </c>
      <c r="AB406" s="399">
        <v>0</v>
      </c>
      <c r="AC406" s="399">
        <v>0</v>
      </c>
      <c r="AD406" s="399">
        <v>87.886528166618305</v>
      </c>
      <c r="AE406" s="399">
        <v>248.76552392803643</v>
      </c>
      <c r="AF406" s="399">
        <v>207.38974658330645</v>
      </c>
      <c r="AG406" s="399">
        <v>4.3364628440171806</v>
      </c>
      <c r="AH406" s="399">
        <v>0</v>
      </c>
      <c r="AI406" s="399">
        <v>0</v>
      </c>
      <c r="AJ406" s="399">
        <v>0</v>
      </c>
      <c r="AK406" s="399">
        <v>0</v>
      </c>
      <c r="AL406" s="399">
        <v>9.2884152156720745</v>
      </c>
      <c r="AM406" s="399"/>
      <c r="AN406" s="399">
        <v>1.1585591191789635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2.1175035905317467</v>
      </c>
      <c r="BH406" s="399">
        <v>0</v>
      </c>
      <c r="BI406" s="399">
        <v>0</v>
      </c>
      <c r="BJ406" s="399">
        <v>0</v>
      </c>
      <c r="BK406" s="399">
        <v>0</v>
      </c>
      <c r="BL406" s="399">
        <v>0</v>
      </c>
      <c r="BM406" s="399"/>
      <c r="BN406" s="399"/>
      <c r="BO406" s="399"/>
      <c r="BP406" s="399"/>
      <c r="BQ406" s="399"/>
      <c r="BR406" s="399"/>
      <c r="BS406" s="399">
        <v>349.76476799999995</v>
      </c>
      <c r="BT406" s="399"/>
      <c r="BU406" s="399"/>
      <c r="BV406" s="399">
        <v>209.5072501738382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188.26080000000002</v>
      </c>
      <c r="CJ406" s="399">
        <v>-30.378575999999953</v>
      </c>
      <c r="CK406" s="399"/>
      <c r="CL406" s="399"/>
      <c r="CM406" s="399"/>
      <c r="CN406" s="399"/>
      <c r="CO406" s="399">
        <v>-108.03336000000002</v>
      </c>
      <c r="CP406" s="399">
        <v>26.745120000000007</v>
      </c>
      <c r="CQ406" s="399">
        <v>31</v>
      </c>
      <c r="CR406" s="399">
        <v>27.860871435325691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3.6580290697592375</v>
      </c>
      <c r="DA406" s="399">
        <v>0</v>
      </c>
      <c r="DB406" s="399">
        <v>0</v>
      </c>
      <c r="DC406" s="399">
        <v>26.744613317890469</v>
      </c>
      <c r="DD406" s="399">
        <v>0</v>
      </c>
      <c r="DE406" s="399">
        <v>0</v>
      </c>
      <c r="DF406" s="399">
        <v>0</v>
      </c>
      <c r="DG406" s="399">
        <v>0.27306950155932075</v>
      </c>
      <c r="DH406" s="399">
        <v>0</v>
      </c>
      <c r="DI406" s="399">
        <v>-2.4439803146517889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-0.29533016417483182</v>
      </c>
      <c r="DP406" s="399">
        <v>-7.5529975056760401E-2</v>
      </c>
      <c r="DQ406" s="399">
        <v>0</v>
      </c>
      <c r="DR406" s="399">
        <v>0</v>
      </c>
      <c r="DS406" s="399"/>
      <c r="DT406" s="399"/>
      <c r="DU406" s="399"/>
      <c r="DV406" s="399">
        <v>248.76552392803643</v>
      </c>
      <c r="DW406" s="399">
        <v>0</v>
      </c>
      <c r="DX406" s="399">
        <v>0</v>
      </c>
      <c r="DY406" s="399">
        <v>-108.03336000000002</v>
      </c>
      <c r="DZ406" s="399">
        <v>26.745120000000014</v>
      </c>
      <c r="EA406" s="399">
        <v>0</v>
      </c>
      <c r="EB406" s="399">
        <v>0</v>
      </c>
      <c r="EC406" s="399">
        <v>-109.15142268580991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216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407</v>
      </c>
      <c r="B407" s="399" t="s">
        <v>954</v>
      </c>
      <c r="C407" s="399" t="s">
        <v>2352</v>
      </c>
      <c r="D407" s="399" t="s">
        <v>2363</v>
      </c>
      <c r="E407" s="399" t="s">
        <v>892</v>
      </c>
      <c r="F407" s="399" t="s">
        <v>2373</v>
      </c>
      <c r="G407" s="399" t="s">
        <v>2371</v>
      </c>
      <c r="H407" s="399" t="s">
        <v>1237</v>
      </c>
      <c r="I407" s="399" t="s">
        <v>1237</v>
      </c>
      <c r="J407" s="399" t="s">
        <v>2353</v>
      </c>
      <c r="K407" s="789">
        <v>44743</v>
      </c>
      <c r="L407" s="399">
        <v>0</v>
      </c>
      <c r="M407" s="399">
        <v>0</v>
      </c>
      <c r="N407" s="399">
        <v>0</v>
      </c>
      <c r="O407" s="399">
        <v>0</v>
      </c>
      <c r="P407" s="399">
        <v>0</v>
      </c>
      <c r="Q407" s="399">
        <v>0</v>
      </c>
      <c r="R407" s="399"/>
      <c r="S407" s="399"/>
      <c r="T407" s="399"/>
      <c r="U407" s="399"/>
      <c r="V407" s="399"/>
      <c r="W407" s="399"/>
      <c r="X407" s="399"/>
      <c r="Y407" s="399"/>
      <c r="Z407" s="399"/>
      <c r="AA407" s="399">
        <v>0</v>
      </c>
      <c r="AB407" s="399"/>
      <c r="AC407" s="399"/>
      <c r="AD407" s="399"/>
      <c r="AE407" s="399"/>
      <c r="AF407" s="399"/>
      <c r="AG407" s="399"/>
      <c r="AH407" s="399"/>
      <c r="AI407" s="399"/>
      <c r="AJ407" s="399"/>
      <c r="AK407" s="399"/>
      <c r="AL407" s="399"/>
      <c r="AM407" s="399"/>
      <c r="AN407" s="399"/>
      <c r="AO407" s="399"/>
      <c r="AP407" s="399"/>
      <c r="AQ407" s="399"/>
      <c r="AR407" s="399"/>
      <c r="AS407" s="399"/>
      <c r="AT407" s="399"/>
      <c r="AU407" s="399"/>
      <c r="AV407" s="399"/>
      <c r="AW407" s="399"/>
      <c r="AX407" s="399"/>
      <c r="AY407" s="399"/>
      <c r="AZ407" s="399">
        <v>0</v>
      </c>
      <c r="BA407" s="399"/>
      <c r="BB407" s="399"/>
      <c r="BC407" s="399"/>
      <c r="BD407" s="399"/>
      <c r="BE407" s="399"/>
      <c r="BF407" s="399"/>
      <c r="BG407" s="399"/>
      <c r="BH407" s="399"/>
      <c r="BI407" s="399">
        <v>0</v>
      </c>
      <c r="BJ407" s="399">
        <v>0</v>
      </c>
      <c r="BK407" s="399">
        <v>44.5</v>
      </c>
      <c r="BL407" s="399">
        <v>3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/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/>
      <c r="CJ407" s="399">
        <v>-0.03</v>
      </c>
      <c r="CK407" s="399"/>
      <c r="CL407" s="399"/>
      <c r="CM407" s="399"/>
      <c r="CN407" s="399"/>
      <c r="CO407" s="399">
        <v>0</v>
      </c>
      <c r="CP407" s="399">
        <v>0</v>
      </c>
      <c r="CQ407" s="399">
        <v>31</v>
      </c>
      <c r="CR407" s="399"/>
      <c r="CS407" s="399"/>
      <c r="CT407" s="399"/>
      <c r="CU407" s="399"/>
      <c r="CV407" s="399"/>
      <c r="CW407" s="399"/>
      <c r="CX407" s="399"/>
      <c r="CY407" s="399"/>
      <c r="CZ407" s="399"/>
      <c r="DA407" s="399"/>
      <c r="DB407" s="399"/>
      <c r="DC407" s="399"/>
      <c r="DD407" s="399"/>
      <c r="DE407" s="399"/>
      <c r="DF407" s="399"/>
      <c r="DG407" s="399"/>
      <c r="DH407" s="399"/>
      <c r="DI407" s="399"/>
      <c r="DJ407" s="399"/>
      <c r="DK407" s="399">
        <v>0</v>
      </c>
      <c r="DL407" s="399"/>
      <c r="DM407" s="399"/>
      <c r="DN407" s="399"/>
      <c r="DO407" s="399"/>
      <c r="DP407" s="399"/>
      <c r="DQ407" s="399"/>
      <c r="DR407" s="399"/>
      <c r="DS407" s="399"/>
      <c r="DT407" s="399"/>
      <c r="DU407" s="399"/>
      <c r="DV407" s="399"/>
      <c r="DW407" s="399"/>
      <c r="DX407" s="399"/>
      <c r="DY407" s="399"/>
      <c r="DZ407" s="399"/>
      <c r="EA407" s="399"/>
      <c r="EB407" s="399"/>
      <c r="EC407" s="399"/>
      <c r="ED407" s="399"/>
      <c r="EE407" s="399"/>
      <c r="EF407" s="399"/>
      <c r="EG407" s="399"/>
      <c r="EH407" s="399"/>
      <c r="EI407" s="399"/>
      <c r="EJ407" s="399"/>
      <c r="EK407" s="399"/>
      <c r="EL407" s="399"/>
      <c r="EM407" s="399"/>
      <c r="EN407" s="399"/>
      <c r="EO407" s="399"/>
      <c r="EP407" s="399"/>
      <c r="EQ407" s="399"/>
      <c r="ER407" s="399"/>
      <c r="ES407" s="399"/>
      <c r="ET407" s="399"/>
      <c r="EU407" s="399"/>
      <c r="EV407" s="399">
        <v>216</v>
      </c>
      <c r="EW407" s="399"/>
      <c r="EX407" s="399"/>
      <c r="EY407" s="399"/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408</v>
      </c>
      <c r="B408" s="399" t="s">
        <v>954</v>
      </c>
      <c r="C408" s="399" t="s">
        <v>2352</v>
      </c>
      <c r="D408" s="399" t="s">
        <v>2363</v>
      </c>
      <c r="E408" s="399" t="s">
        <v>892</v>
      </c>
      <c r="F408" s="399" t="s">
        <v>2373</v>
      </c>
      <c r="G408" s="399" t="s">
        <v>2371</v>
      </c>
      <c r="H408" s="399" t="s">
        <v>1237</v>
      </c>
      <c r="I408" s="399" t="s">
        <v>1237</v>
      </c>
      <c r="J408" s="399" t="s">
        <v>2353</v>
      </c>
      <c r="K408" s="789">
        <v>44743</v>
      </c>
      <c r="L408" s="399">
        <v>0</v>
      </c>
      <c r="M408" s="399">
        <v>0</v>
      </c>
      <c r="N408" s="399">
        <v>0.16</v>
      </c>
      <c r="O408" s="399">
        <v>0.16</v>
      </c>
      <c r="P408" s="399">
        <v>0.16</v>
      </c>
      <c r="Q408" s="399">
        <v>0.16</v>
      </c>
      <c r="R408" s="399"/>
      <c r="S408" s="399">
        <v>415.98</v>
      </c>
      <c r="T408" s="399">
        <v>215.17</v>
      </c>
      <c r="U408" s="399"/>
      <c r="V408" s="399">
        <v>100.98400000000001</v>
      </c>
      <c r="W408" s="399">
        <v>100.98400000000001</v>
      </c>
      <c r="X408" s="399">
        <v>87.766400000000004</v>
      </c>
      <c r="Y408" s="399">
        <v>0</v>
      </c>
      <c r="Z408" s="399">
        <v>9.7738556950699529</v>
      </c>
      <c r="AA408" s="399">
        <v>0</v>
      </c>
      <c r="AB408" s="399">
        <v>0</v>
      </c>
      <c r="AC408" s="399">
        <v>0</v>
      </c>
      <c r="AD408" s="399">
        <v>14.290492384815984</v>
      </c>
      <c r="AE408" s="399">
        <v>40.449678687485601</v>
      </c>
      <c r="AF408" s="399">
        <v>33.721910013545759</v>
      </c>
      <c r="AG408" s="399">
        <v>0.70511590959628967</v>
      </c>
      <c r="AH408" s="399">
        <v>0</v>
      </c>
      <c r="AI408" s="399">
        <v>0</v>
      </c>
      <c r="AJ408" s="399">
        <v>0</v>
      </c>
      <c r="AK408" s="399">
        <v>0</v>
      </c>
      <c r="AL408" s="399">
        <v>1.5103114171824512</v>
      </c>
      <c r="AM408" s="399"/>
      <c r="AN408" s="399">
        <v>0.1883835966144656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0.34430952691573119</v>
      </c>
      <c r="BH408" s="399">
        <v>0</v>
      </c>
      <c r="BI408" s="399">
        <v>0</v>
      </c>
      <c r="BJ408" s="399">
        <v>0</v>
      </c>
      <c r="BK408" s="399">
        <v>0</v>
      </c>
      <c r="BL408" s="399">
        <v>0</v>
      </c>
      <c r="BM408" s="399"/>
      <c r="BN408" s="399"/>
      <c r="BO408" s="399"/>
      <c r="BP408" s="399"/>
      <c r="BQ408" s="399"/>
      <c r="BR408" s="399">
        <v>10.531199999999998</v>
      </c>
      <c r="BS408" s="399"/>
      <c r="BT408" s="399"/>
      <c r="BU408" s="399"/>
      <c r="BV408" s="399">
        <v>34.066219540461489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77.235200000000006</v>
      </c>
      <c r="CJ408" s="399">
        <v>-11.660399999999996</v>
      </c>
      <c r="CK408" s="399"/>
      <c r="CL408" s="399"/>
      <c r="CM408" s="399"/>
      <c r="CN408" s="399"/>
      <c r="CO408" s="399">
        <v>-17.566400000000005</v>
      </c>
      <c r="CP408" s="399">
        <v>4.3488000000000016</v>
      </c>
      <c r="CQ408" s="399">
        <v>31</v>
      </c>
      <c r="CR408" s="399">
        <v>4.530222997613933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0.5948014747576007</v>
      </c>
      <c r="DA408" s="399">
        <v>0</v>
      </c>
      <c r="DB408" s="399">
        <v>0</v>
      </c>
      <c r="DC408" s="399">
        <v>4.3487176126651192</v>
      </c>
      <c r="DD408" s="399">
        <v>0</v>
      </c>
      <c r="DE408" s="399">
        <v>0</v>
      </c>
      <c r="DF408" s="399">
        <v>0</v>
      </c>
      <c r="DG408" s="399">
        <v>4.4401544968995232E-2</v>
      </c>
      <c r="DH408" s="399">
        <v>0</v>
      </c>
      <c r="DI408" s="399">
        <v>-0.39739517311411277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-4.8021164906476788E-2</v>
      </c>
      <c r="DP408" s="399">
        <v>-1.228129675719683E-2</v>
      </c>
      <c r="DQ408" s="399">
        <v>0</v>
      </c>
      <c r="DR408" s="399">
        <v>0</v>
      </c>
      <c r="DS408" s="399"/>
      <c r="DT408" s="399"/>
      <c r="DU408" s="399"/>
      <c r="DV408" s="399">
        <v>40.449678687485601</v>
      </c>
      <c r="DW408" s="399">
        <v>0</v>
      </c>
      <c r="DX408" s="399">
        <v>0</v>
      </c>
      <c r="DY408" s="399">
        <v>-17.566400000000009</v>
      </c>
      <c r="DZ408" s="399">
        <v>4.3488000000000042</v>
      </c>
      <c r="EA408" s="399">
        <v>0</v>
      </c>
      <c r="EB408" s="399">
        <v>0</v>
      </c>
      <c r="EC408" s="399">
        <v>-17.748198810700799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216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409</v>
      </c>
      <c r="B409" s="399" t="s">
        <v>954</v>
      </c>
      <c r="C409" s="399" t="s">
        <v>2352</v>
      </c>
      <c r="D409" s="399" t="s">
        <v>2363</v>
      </c>
      <c r="E409" s="399" t="s">
        <v>892</v>
      </c>
      <c r="F409" s="399" t="s">
        <v>2373</v>
      </c>
      <c r="G409" s="399" t="s">
        <v>2372</v>
      </c>
      <c r="H409" s="399" t="s">
        <v>1237</v>
      </c>
      <c r="I409" s="399" t="s">
        <v>1237</v>
      </c>
      <c r="J409" s="399" t="s">
        <v>2353</v>
      </c>
      <c r="K409" s="789">
        <v>44743</v>
      </c>
      <c r="L409" s="399">
        <v>0</v>
      </c>
      <c r="M409" s="399">
        <v>0</v>
      </c>
      <c r="N409" s="399">
        <v>0.435</v>
      </c>
      <c r="O409" s="399">
        <v>0.17399999999999999</v>
      </c>
      <c r="P409" s="399">
        <v>0.435</v>
      </c>
      <c r="Q409" s="399">
        <v>0.17399999999999999</v>
      </c>
      <c r="R409" s="399"/>
      <c r="S409" s="399">
        <v>415.98</v>
      </c>
      <c r="T409" s="399">
        <v>215.17</v>
      </c>
      <c r="U409" s="399"/>
      <c r="V409" s="399">
        <v>274.55025000000001</v>
      </c>
      <c r="W409" s="399">
        <v>274.55025000000001</v>
      </c>
      <c r="X409" s="399">
        <v>238.61489999999998</v>
      </c>
      <c r="Y409" s="399">
        <v>0</v>
      </c>
      <c r="Z409" s="399">
        <v>26.572670170971431</v>
      </c>
      <c r="AA409" s="399">
        <v>0</v>
      </c>
      <c r="AB409" s="399">
        <v>0</v>
      </c>
      <c r="AC409" s="399">
        <v>0</v>
      </c>
      <c r="AD409" s="399">
        <v>38.852276171218456</v>
      </c>
      <c r="AE409" s="399">
        <v>109.97256393160147</v>
      </c>
      <c r="AF409" s="399">
        <v>91.681442849327539</v>
      </c>
      <c r="AG409" s="399">
        <v>1.9170338792149124</v>
      </c>
      <c r="AH409" s="399">
        <v>0</v>
      </c>
      <c r="AI409" s="399">
        <v>0</v>
      </c>
      <c r="AJ409" s="399">
        <v>0</v>
      </c>
      <c r="AK409" s="399">
        <v>0</v>
      </c>
      <c r="AL409" s="399">
        <v>4.1061591654647893</v>
      </c>
      <c r="AM409" s="399"/>
      <c r="AN409" s="399">
        <v>0.51216790329557838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0.93609152630214409</v>
      </c>
      <c r="BH409" s="399">
        <v>0</v>
      </c>
      <c r="BI409" s="399">
        <v>0</v>
      </c>
      <c r="BJ409" s="399">
        <v>0</v>
      </c>
      <c r="BK409" s="399">
        <v>0</v>
      </c>
      <c r="BL409" s="399">
        <v>0</v>
      </c>
      <c r="BM409" s="399"/>
      <c r="BN409" s="399"/>
      <c r="BO409" s="399"/>
      <c r="BP409" s="399"/>
      <c r="BQ409" s="399"/>
      <c r="BR409" s="399"/>
      <c r="BS409" s="399">
        <v>154.62162000000001</v>
      </c>
      <c r="BT409" s="399"/>
      <c r="BU409" s="399"/>
      <c r="BV409" s="399">
        <v>92.617534375629688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82.062399999999997</v>
      </c>
      <c r="CJ409" s="399">
        <v>-14.608940000000004</v>
      </c>
      <c r="CK409" s="399"/>
      <c r="CL409" s="399"/>
      <c r="CM409" s="399"/>
      <c r="CN409" s="399"/>
      <c r="CO409" s="399">
        <v>-47.75865000000001</v>
      </c>
      <c r="CP409" s="399">
        <v>11.823300000000003</v>
      </c>
      <c r="CQ409" s="399">
        <v>31</v>
      </c>
      <c r="CR409" s="399">
        <v>12.316543774762806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1.6171165094972295</v>
      </c>
      <c r="DA409" s="399">
        <v>0</v>
      </c>
      <c r="DB409" s="399">
        <v>0</v>
      </c>
      <c r="DC409" s="399">
        <v>11.823076009433294</v>
      </c>
      <c r="DD409" s="399">
        <v>0</v>
      </c>
      <c r="DE409" s="399">
        <v>0</v>
      </c>
      <c r="DF409" s="399">
        <v>0</v>
      </c>
      <c r="DG409" s="399">
        <v>0.12071670038445581</v>
      </c>
      <c r="DH409" s="399">
        <v>0</v>
      </c>
      <c r="DI409" s="399">
        <v>-1.0804181269039894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-0.13055754208948356</v>
      </c>
      <c r="DP409" s="399">
        <v>-3.3389775558628876E-2</v>
      </c>
      <c r="DQ409" s="399">
        <v>0</v>
      </c>
      <c r="DR409" s="399">
        <v>0</v>
      </c>
      <c r="DS409" s="399"/>
      <c r="DT409" s="399"/>
      <c r="DU409" s="399"/>
      <c r="DV409" s="399">
        <v>109.97256393160147</v>
      </c>
      <c r="DW409" s="399">
        <v>0</v>
      </c>
      <c r="DX409" s="399">
        <v>0</v>
      </c>
      <c r="DY409" s="399">
        <v>-47.758650000000017</v>
      </c>
      <c r="DZ409" s="399">
        <v>11.823300000000003</v>
      </c>
      <c r="EA409" s="399">
        <v>0</v>
      </c>
      <c r="EB409" s="399">
        <v>0</v>
      </c>
      <c r="EC409" s="399">
        <v>-48.252915516592793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216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1768">
        <v>410</v>
      </c>
      <c r="B410" s="1768" t="s">
        <v>2374</v>
      </c>
      <c r="C410" s="1768" t="s">
        <v>2352</v>
      </c>
      <c r="D410" s="1768" t="s">
        <v>1821</v>
      </c>
      <c r="E410" s="1768" t="s">
        <v>887</v>
      </c>
      <c r="F410" s="1768" t="s">
        <v>887</v>
      </c>
      <c r="G410" s="1768" t="s">
        <v>1237</v>
      </c>
      <c r="H410" s="1768" t="s">
        <v>1237</v>
      </c>
      <c r="I410" s="1768" t="s">
        <v>1237</v>
      </c>
      <c r="J410" s="1768" t="s">
        <v>2353</v>
      </c>
      <c r="K410" s="1769">
        <v>44774</v>
      </c>
      <c r="L410" s="1768">
        <v>0</v>
      </c>
      <c r="M410" s="1768">
        <v>0</v>
      </c>
      <c r="N410" s="1768">
        <v>482.822</v>
      </c>
      <c r="O410" s="1768">
        <v>482.822</v>
      </c>
      <c r="P410" s="1768">
        <v>482.822</v>
      </c>
      <c r="Q410" s="1768">
        <v>482.822</v>
      </c>
      <c r="R410" s="1768"/>
      <c r="S410" s="1768">
        <v>415.98</v>
      </c>
      <c r="T410" s="1768">
        <v>215.17</v>
      </c>
      <c r="U410" s="1768"/>
      <c r="V410" s="1768">
        <v>304733.1053</v>
      </c>
      <c r="W410" s="1768">
        <v>304733.1053</v>
      </c>
      <c r="X410" s="1768">
        <v>264847.17988000001</v>
      </c>
      <c r="Y410" s="1768">
        <v>0</v>
      </c>
      <c r="Z410" s="1768">
        <v>29493.953465031653</v>
      </c>
      <c r="AA410" s="1768">
        <v>0</v>
      </c>
      <c r="AB410" s="1768">
        <v>0</v>
      </c>
      <c r="AC410" s="1768">
        <v>0</v>
      </c>
      <c r="AD410" s="1768">
        <v>43123.525713885145</v>
      </c>
      <c r="AE410" s="1768">
        <v>122062.46727030732</v>
      </c>
      <c r="AF410" s="1768">
        <v>101760.5002285012</v>
      </c>
      <c r="AG410" s="1768">
        <v>2127.7842106443736</v>
      </c>
      <c r="AH410" s="1768">
        <v>0</v>
      </c>
      <c r="AI410" s="1768">
        <v>0</v>
      </c>
      <c r="AJ410" s="1768">
        <v>0</v>
      </c>
      <c r="AK410" s="1768">
        <v>0</v>
      </c>
      <c r="AL410" s="1768">
        <v>4557.5723691679095</v>
      </c>
      <c r="AM410" s="1768"/>
      <c r="AN410" s="1768">
        <v>568.47340552868445</v>
      </c>
      <c r="AO410" s="1768">
        <v>0</v>
      </c>
      <c r="AP410" s="1768">
        <v>0</v>
      </c>
      <c r="AQ410" s="1768">
        <v>0</v>
      </c>
      <c r="AR410" s="1768">
        <v>0</v>
      </c>
      <c r="AS410" s="1768">
        <v>0</v>
      </c>
      <c r="AT410" s="1768">
        <v>0</v>
      </c>
      <c r="AU410" s="1768">
        <v>0</v>
      </c>
      <c r="AV410" s="1768">
        <v>0</v>
      </c>
      <c r="AW410" s="1768">
        <v>0</v>
      </c>
      <c r="AX410" s="1768">
        <v>0</v>
      </c>
      <c r="AY410" s="1768">
        <v>0</v>
      </c>
      <c r="AZ410" s="1768">
        <v>0</v>
      </c>
      <c r="BA410" s="1768"/>
      <c r="BB410" s="1768">
        <v>0</v>
      </c>
      <c r="BC410" s="1768">
        <v>0</v>
      </c>
      <c r="BD410" s="1768">
        <v>0</v>
      </c>
      <c r="BE410" s="1768">
        <v>0</v>
      </c>
      <c r="BF410" s="1768">
        <v>0</v>
      </c>
      <c r="BG410" s="1768">
        <v>1039.0013400281698</v>
      </c>
      <c r="BH410" s="1768">
        <v>0</v>
      </c>
      <c r="BI410" s="1768">
        <v>0</v>
      </c>
      <c r="BJ410" s="1768">
        <v>0</v>
      </c>
      <c r="BK410" s="1768">
        <v>41817</v>
      </c>
      <c r="BL410" s="1768">
        <v>2843</v>
      </c>
      <c r="BM410" s="1768"/>
      <c r="BN410" s="1768"/>
      <c r="BO410" s="1768"/>
      <c r="BP410" s="1768"/>
      <c r="BQ410" s="1768"/>
      <c r="BR410" s="1768"/>
      <c r="BS410" s="1768"/>
      <c r="BT410" s="1768"/>
      <c r="BU410" s="1768"/>
      <c r="BV410" s="1768">
        <v>102799.50156852938</v>
      </c>
      <c r="BW410" s="1768"/>
      <c r="BX410" s="1768"/>
      <c r="BY410" s="1768"/>
      <c r="BZ410" s="1768"/>
      <c r="CA410" s="1768"/>
      <c r="CB410" s="1768"/>
      <c r="CC410" s="1768"/>
      <c r="CD410" s="1768"/>
      <c r="CE410" s="1768"/>
      <c r="CF410" s="1768"/>
      <c r="CG410" s="1768"/>
      <c r="CH410" s="1768"/>
      <c r="CI410" s="1768">
        <v>264846.08279999997</v>
      </c>
      <c r="CJ410" s="1768">
        <v>-39887.052500000049</v>
      </c>
      <c r="CK410" s="1768"/>
      <c r="CL410" s="1768"/>
      <c r="CM410" s="1768"/>
      <c r="CN410" s="1768"/>
      <c r="CO410" s="1768">
        <v>-53009.027380000007</v>
      </c>
      <c r="CP410" s="1768">
        <v>13123.101960000004</v>
      </c>
      <c r="CQ410" s="1768">
        <v>31</v>
      </c>
      <c r="CR410" s="1768">
        <v>13670.570800962189</v>
      </c>
      <c r="CS410" s="1768">
        <v>0</v>
      </c>
      <c r="CT410" s="1768">
        <v>0</v>
      </c>
      <c r="CU410" s="1768">
        <v>0</v>
      </c>
      <c r="CV410" s="1768">
        <v>0</v>
      </c>
      <c r="CW410" s="1768">
        <v>0</v>
      </c>
      <c r="CX410" s="1768">
        <v>0</v>
      </c>
      <c r="CY410" s="1768">
        <v>0</v>
      </c>
      <c r="CZ410" s="1768">
        <v>1794.8952352838387</v>
      </c>
      <c r="DA410" s="1768">
        <v>0</v>
      </c>
      <c r="DB410" s="1768">
        <v>0</v>
      </c>
      <c r="DC410" s="1768">
        <v>13122.853344888732</v>
      </c>
      <c r="DD410" s="1768">
        <v>0</v>
      </c>
      <c r="DE410" s="1768">
        <v>0</v>
      </c>
      <c r="DF410" s="1768">
        <v>0</v>
      </c>
      <c r="DG410" s="1768">
        <v>133.98776715637632</v>
      </c>
      <c r="DH410" s="1768">
        <v>0</v>
      </c>
      <c r="DI410" s="1768">
        <v>-1199.1945767081343</v>
      </c>
      <c r="DJ410" s="1768"/>
      <c r="DK410" s="1768">
        <v>0</v>
      </c>
      <c r="DL410" s="1768">
        <v>0</v>
      </c>
      <c r="DM410" s="1768">
        <v>0</v>
      </c>
      <c r="DN410" s="1768">
        <v>0</v>
      </c>
      <c r="DO410" s="1768">
        <v>-144.91046801546872</v>
      </c>
      <c r="DP410" s="1768">
        <v>-37.060501643145471</v>
      </c>
      <c r="DQ410" s="1768">
        <v>0</v>
      </c>
      <c r="DR410" s="1768">
        <v>0</v>
      </c>
      <c r="DS410" s="1768"/>
      <c r="DT410" s="1768"/>
      <c r="DU410" s="1768"/>
      <c r="DV410" s="1768">
        <v>122062.46727030732</v>
      </c>
      <c r="DW410" s="1768">
        <v>0</v>
      </c>
      <c r="DX410" s="1768">
        <v>0</v>
      </c>
      <c r="DY410" s="1768">
        <v>-53009.027379999985</v>
      </c>
      <c r="DZ410" s="1768">
        <v>13123.10196</v>
      </c>
      <c r="EA410" s="1768">
        <v>0</v>
      </c>
      <c r="EB410" s="1768">
        <v>0</v>
      </c>
      <c r="EC410" s="1768">
        <v>-53557.630288626126</v>
      </c>
      <c r="ED410" s="1768">
        <v>0</v>
      </c>
      <c r="EE410" s="1768">
        <v>0</v>
      </c>
      <c r="EF410" s="1768">
        <v>0</v>
      </c>
      <c r="EG410" s="1768">
        <v>0</v>
      </c>
      <c r="EH410" s="1768">
        <v>0</v>
      </c>
      <c r="EI410" s="1768">
        <v>0</v>
      </c>
      <c r="EJ410" s="1768">
        <v>0</v>
      </c>
      <c r="EK410" s="1768">
        <v>0</v>
      </c>
      <c r="EL410" s="1768">
        <v>0</v>
      </c>
      <c r="EM410" s="1768">
        <v>0</v>
      </c>
      <c r="EN410" s="1768">
        <v>0</v>
      </c>
      <c r="EO410" s="1768">
        <v>0</v>
      </c>
      <c r="EP410" s="1768">
        <v>0</v>
      </c>
      <c r="EQ410" s="1768">
        <v>0</v>
      </c>
      <c r="ER410" s="1768">
        <v>0</v>
      </c>
      <c r="ES410" s="1768">
        <v>0</v>
      </c>
      <c r="ET410" s="1768">
        <v>0</v>
      </c>
      <c r="EU410" s="1768">
        <v>0</v>
      </c>
      <c r="EV410" s="1768">
        <v>216</v>
      </c>
      <c r="EW410" s="1768">
        <v>0</v>
      </c>
      <c r="EX410" s="1768">
        <v>0</v>
      </c>
      <c r="EY410" s="1768">
        <v>0</v>
      </c>
      <c r="EZ410" s="1768"/>
      <c r="FA410" s="1768">
        <v>0</v>
      </c>
      <c r="FB410" s="1768"/>
      <c r="FC410" s="1768"/>
      <c r="FD410" s="1768"/>
      <c r="FE410" s="1768"/>
      <c r="FF410" s="1768">
        <v>0</v>
      </c>
      <c r="FG410" s="1768">
        <v>0</v>
      </c>
      <c r="FH410" s="1768">
        <v>0</v>
      </c>
      <c r="FI410" s="1768">
        <v>0</v>
      </c>
    </row>
    <row r="411" spans="1:165">
      <c r="A411" s="1768">
        <v>411</v>
      </c>
      <c r="B411" s="1768" t="s">
        <v>2374</v>
      </c>
      <c r="C411" s="1768" t="s">
        <v>2352</v>
      </c>
      <c r="D411" s="1768" t="s">
        <v>1821</v>
      </c>
      <c r="E411" s="1768" t="s">
        <v>887</v>
      </c>
      <c r="F411" s="1768" t="s">
        <v>887</v>
      </c>
      <c r="G411" s="1768" t="s">
        <v>1237</v>
      </c>
      <c r="H411" s="1768" t="s">
        <v>1237</v>
      </c>
      <c r="I411" s="1768" t="s">
        <v>1237</v>
      </c>
      <c r="J411" s="1768" t="s">
        <v>2353</v>
      </c>
      <c r="K411" s="1769">
        <v>44774</v>
      </c>
      <c r="L411" s="1768">
        <v>0</v>
      </c>
      <c r="M411" s="1768">
        <v>0</v>
      </c>
      <c r="N411" s="1768">
        <v>3.181</v>
      </c>
      <c r="O411" s="1768">
        <v>3.181</v>
      </c>
      <c r="P411" s="1768">
        <v>3.181</v>
      </c>
      <c r="Q411" s="1768">
        <v>3.181</v>
      </c>
      <c r="R411" s="1768"/>
      <c r="S411" s="1768">
        <v>415.98</v>
      </c>
      <c r="T411" s="1768">
        <v>215.17</v>
      </c>
      <c r="U411" s="1768"/>
      <c r="V411" s="1768">
        <v>2007.68815</v>
      </c>
      <c r="W411" s="1768">
        <v>2007.68815</v>
      </c>
      <c r="X411" s="1768">
        <v>1744.9057400000002</v>
      </c>
      <c r="Y411" s="1768">
        <v>0</v>
      </c>
      <c r="Z411" s="1768">
        <v>194.3164685376095</v>
      </c>
      <c r="AA411" s="1768">
        <v>0</v>
      </c>
      <c r="AB411" s="1768">
        <v>0</v>
      </c>
      <c r="AC411" s="1768">
        <v>0</v>
      </c>
      <c r="AD411" s="1768">
        <v>284.11285172562282</v>
      </c>
      <c r="AE411" s="1768">
        <v>804.19017440557309</v>
      </c>
      <c r="AF411" s="1768">
        <v>670.43372345680666</v>
      </c>
      <c r="AG411" s="1768">
        <v>14.018585677661234</v>
      </c>
      <c r="AH411" s="1768">
        <v>0</v>
      </c>
      <c r="AI411" s="1768">
        <v>0</v>
      </c>
      <c r="AJ411" s="1768">
        <v>0</v>
      </c>
      <c r="AK411" s="1768">
        <v>0</v>
      </c>
      <c r="AL411" s="1768">
        <v>30.026878862858609</v>
      </c>
      <c r="AM411" s="1768"/>
      <c r="AN411" s="1768">
        <v>3.7453013801913442</v>
      </c>
      <c r="AO411" s="1768">
        <v>0</v>
      </c>
      <c r="AP411" s="1768">
        <v>0</v>
      </c>
      <c r="AQ411" s="1768">
        <v>0</v>
      </c>
      <c r="AR411" s="1768">
        <v>0</v>
      </c>
      <c r="AS411" s="1768">
        <v>0</v>
      </c>
      <c r="AT411" s="1768">
        <v>0</v>
      </c>
      <c r="AU411" s="1768">
        <v>0</v>
      </c>
      <c r="AV411" s="1768">
        <v>0</v>
      </c>
      <c r="AW411" s="1768">
        <v>0</v>
      </c>
      <c r="AX411" s="1768">
        <v>0</v>
      </c>
      <c r="AY411" s="1768">
        <v>0</v>
      </c>
      <c r="AZ411" s="1768">
        <v>0</v>
      </c>
      <c r="BA411" s="1768"/>
      <c r="BB411" s="1768">
        <v>0</v>
      </c>
      <c r="BC411" s="1768">
        <v>0</v>
      </c>
      <c r="BD411" s="1768">
        <v>0</v>
      </c>
      <c r="BE411" s="1768">
        <v>0</v>
      </c>
      <c r="BF411" s="1768">
        <v>0</v>
      </c>
      <c r="BG411" s="1768">
        <v>6.8453037819933806</v>
      </c>
      <c r="BH411" s="1768">
        <v>0</v>
      </c>
      <c r="BI411" s="1768">
        <v>0</v>
      </c>
      <c r="BJ411" s="1768">
        <v>0</v>
      </c>
      <c r="BK411" s="1768">
        <v>571.71</v>
      </c>
      <c r="BL411" s="1768">
        <v>20</v>
      </c>
      <c r="BM411" s="1768"/>
      <c r="BN411" s="1768"/>
      <c r="BO411" s="1768"/>
      <c r="BP411" s="1768"/>
      <c r="BQ411" s="1768"/>
      <c r="BR411" s="1768"/>
      <c r="BS411" s="1768"/>
      <c r="BT411" s="1768"/>
      <c r="BU411" s="1768"/>
      <c r="BV411" s="1768">
        <v>677.27902723880004</v>
      </c>
      <c r="BW411" s="1768"/>
      <c r="BX411" s="1768"/>
      <c r="BY411" s="1768"/>
      <c r="BZ411" s="1768"/>
      <c r="CA411" s="1768"/>
      <c r="CB411" s="1768"/>
      <c r="CC411" s="1768"/>
      <c r="CD411" s="1768"/>
      <c r="CE411" s="1768"/>
      <c r="CF411" s="1768"/>
      <c r="CG411" s="1768"/>
      <c r="CH411" s="1768"/>
      <c r="CI411" s="1768">
        <v>1744.3571999999999</v>
      </c>
      <c r="CJ411" s="1768">
        <v>-263.36095</v>
      </c>
      <c r="CK411" s="1768"/>
      <c r="CL411" s="1768"/>
      <c r="CM411" s="1768"/>
      <c r="CN411" s="1768"/>
      <c r="CO411" s="1768">
        <v>-349.24199000000004</v>
      </c>
      <c r="CP411" s="1768">
        <v>86.459580000000017</v>
      </c>
      <c r="CQ411" s="1768">
        <v>31</v>
      </c>
      <c r="CR411" s="1768">
        <v>90.066495971311724</v>
      </c>
      <c r="CS411" s="1768">
        <v>0</v>
      </c>
      <c r="CT411" s="1768">
        <v>0</v>
      </c>
      <c r="CU411" s="1768">
        <v>0</v>
      </c>
      <c r="CV411" s="1768">
        <v>0</v>
      </c>
      <c r="CW411" s="1768">
        <v>0</v>
      </c>
      <c r="CX411" s="1768">
        <v>0</v>
      </c>
      <c r="CY411" s="1768">
        <v>0</v>
      </c>
      <c r="CZ411" s="1768">
        <v>11.825396820024537</v>
      </c>
      <c r="DA411" s="1768">
        <v>0</v>
      </c>
      <c r="DB411" s="1768">
        <v>0</v>
      </c>
      <c r="DC411" s="1768">
        <v>86.457942036798386</v>
      </c>
      <c r="DD411" s="1768">
        <v>0</v>
      </c>
      <c r="DE411" s="1768">
        <v>0</v>
      </c>
      <c r="DF411" s="1768">
        <v>0</v>
      </c>
      <c r="DG411" s="1768">
        <v>0.88275821591483705</v>
      </c>
      <c r="DH411" s="1768">
        <v>0</v>
      </c>
      <c r="DI411" s="1768">
        <v>-7.9007127854749513</v>
      </c>
      <c r="DJ411" s="1768"/>
      <c r="DK411" s="1768">
        <v>0</v>
      </c>
      <c r="DL411" s="1768">
        <v>0</v>
      </c>
      <c r="DM411" s="1768">
        <v>0</v>
      </c>
      <c r="DN411" s="1768">
        <v>0</v>
      </c>
      <c r="DO411" s="1768">
        <v>-0.9547207847968906</v>
      </c>
      <c r="DP411" s="1768">
        <v>-0.24416753115401901</v>
      </c>
      <c r="DQ411" s="1768">
        <v>0</v>
      </c>
      <c r="DR411" s="1768">
        <v>0</v>
      </c>
      <c r="DS411" s="1768"/>
      <c r="DT411" s="1768"/>
      <c r="DU411" s="1768"/>
      <c r="DV411" s="1768">
        <v>804.19017440557309</v>
      </c>
      <c r="DW411" s="1768">
        <v>0</v>
      </c>
      <c r="DX411" s="1768">
        <v>0</v>
      </c>
      <c r="DY411" s="1768">
        <v>-349.2419900000001</v>
      </c>
      <c r="DZ411" s="1768">
        <v>86.459580000000074</v>
      </c>
      <c r="EA411" s="1768">
        <v>0</v>
      </c>
      <c r="EB411" s="1768">
        <v>0</v>
      </c>
      <c r="EC411" s="1768">
        <v>-352.85637760524526</v>
      </c>
      <c r="ED411" s="1768">
        <v>0</v>
      </c>
      <c r="EE411" s="1768">
        <v>0</v>
      </c>
      <c r="EF411" s="1768">
        <v>0</v>
      </c>
      <c r="EG411" s="1768">
        <v>0</v>
      </c>
      <c r="EH411" s="1768">
        <v>0</v>
      </c>
      <c r="EI411" s="1768">
        <v>0</v>
      </c>
      <c r="EJ411" s="1768">
        <v>0</v>
      </c>
      <c r="EK411" s="1768">
        <v>0</v>
      </c>
      <c r="EL411" s="1768">
        <v>0</v>
      </c>
      <c r="EM411" s="1768">
        <v>0</v>
      </c>
      <c r="EN411" s="1768">
        <v>0</v>
      </c>
      <c r="EO411" s="1768">
        <v>0</v>
      </c>
      <c r="EP411" s="1768">
        <v>0</v>
      </c>
      <c r="EQ411" s="1768">
        <v>0</v>
      </c>
      <c r="ER411" s="1768">
        <v>0</v>
      </c>
      <c r="ES411" s="1768">
        <v>0</v>
      </c>
      <c r="ET411" s="1768">
        <v>0</v>
      </c>
      <c r="EU411" s="1768">
        <v>0</v>
      </c>
      <c r="EV411" s="1768">
        <v>216</v>
      </c>
      <c r="EW411" s="1768">
        <v>0</v>
      </c>
      <c r="EX411" s="1768">
        <v>0</v>
      </c>
      <c r="EY411" s="1768">
        <v>0</v>
      </c>
      <c r="EZ411" s="1768"/>
      <c r="FA411" s="1768">
        <v>0</v>
      </c>
      <c r="FB411" s="1768"/>
      <c r="FC411" s="1768"/>
      <c r="FD411" s="1768"/>
      <c r="FE411" s="1768"/>
      <c r="FF411" s="1768">
        <v>0</v>
      </c>
      <c r="FG411" s="1768">
        <v>0</v>
      </c>
      <c r="FH411" s="1768">
        <v>0</v>
      </c>
      <c r="FI411" s="1768">
        <v>0</v>
      </c>
    </row>
    <row r="412" spans="1:165">
      <c r="A412" s="1768">
        <v>412</v>
      </c>
      <c r="B412" s="1768" t="s">
        <v>2374</v>
      </c>
      <c r="C412" s="1768" t="s">
        <v>2352</v>
      </c>
      <c r="D412" s="1768" t="s">
        <v>1821</v>
      </c>
      <c r="E412" s="1768" t="s">
        <v>887</v>
      </c>
      <c r="F412" s="1768" t="s">
        <v>2356</v>
      </c>
      <c r="G412" s="1768" t="s">
        <v>1237</v>
      </c>
      <c r="H412" s="1768" t="s">
        <v>1237</v>
      </c>
      <c r="I412" s="1768" t="s">
        <v>1237</v>
      </c>
      <c r="J412" s="1768" t="s">
        <v>2353</v>
      </c>
      <c r="K412" s="1769">
        <v>44774</v>
      </c>
      <c r="L412" s="1768">
        <v>0</v>
      </c>
      <c r="M412" s="1768">
        <v>0</v>
      </c>
      <c r="N412" s="1768">
        <v>7.86</v>
      </c>
      <c r="O412" s="1768">
        <v>7.86</v>
      </c>
      <c r="P412" s="1768">
        <v>7.86</v>
      </c>
      <c r="Q412" s="1768">
        <v>7.86</v>
      </c>
      <c r="R412" s="1768"/>
      <c r="S412" s="1768">
        <v>345.46</v>
      </c>
      <c r="T412" s="1768">
        <v>215.17</v>
      </c>
      <c r="U412" s="1768"/>
      <c r="V412" s="1768">
        <v>4406.5518000000002</v>
      </c>
      <c r="W412" s="1768">
        <v>4406.5518000000002</v>
      </c>
      <c r="X412" s="1768">
        <v>3779.0880000000002</v>
      </c>
      <c r="Y412" s="1768">
        <v>0</v>
      </c>
      <c r="Z412" s="1768">
        <v>0</v>
      </c>
      <c r="AA412" s="1768">
        <v>0</v>
      </c>
      <c r="AB412" s="1768">
        <v>0</v>
      </c>
      <c r="AC412" s="1768">
        <v>0</v>
      </c>
      <c r="AD412" s="1768">
        <v>702.02043840408521</v>
      </c>
      <c r="AE412" s="1768">
        <v>1987.09046552273</v>
      </c>
      <c r="AF412" s="1768">
        <v>1656.5888294154356</v>
      </c>
      <c r="AG412" s="1768">
        <v>34.638819058917726</v>
      </c>
      <c r="AH412" s="1768">
        <v>0</v>
      </c>
      <c r="AI412" s="1768">
        <v>0</v>
      </c>
      <c r="AJ412" s="1768">
        <v>0</v>
      </c>
      <c r="AK412" s="1768">
        <v>0</v>
      </c>
      <c r="AL412" s="1768">
        <v>0</v>
      </c>
      <c r="AM412" s="1768"/>
      <c r="AN412" s="1768">
        <v>9.2543441836856228</v>
      </c>
      <c r="AO412" s="1768">
        <v>0</v>
      </c>
      <c r="AP412" s="1768">
        <v>0</v>
      </c>
      <c r="AQ412" s="1768">
        <v>0</v>
      </c>
      <c r="AR412" s="1768">
        <v>0</v>
      </c>
      <c r="AS412" s="1768">
        <v>0</v>
      </c>
      <c r="AT412" s="1768">
        <v>0</v>
      </c>
      <c r="AU412" s="1768">
        <v>0</v>
      </c>
      <c r="AV412" s="1768">
        <v>0</v>
      </c>
      <c r="AW412" s="1768">
        <v>0</v>
      </c>
      <c r="AX412" s="1768">
        <v>0</v>
      </c>
      <c r="AY412" s="1768">
        <v>0</v>
      </c>
      <c r="AZ412" s="1768">
        <v>0</v>
      </c>
      <c r="BA412" s="1768"/>
      <c r="BB412" s="1768">
        <v>0</v>
      </c>
      <c r="BC412" s="1768">
        <v>0</v>
      </c>
      <c r="BD412" s="1768">
        <v>0</v>
      </c>
      <c r="BE412" s="1768">
        <v>0</v>
      </c>
      <c r="BF412" s="1768">
        <v>0</v>
      </c>
      <c r="BG412" s="1768">
        <v>16.914205509735297</v>
      </c>
      <c r="BH412" s="1768">
        <v>0</v>
      </c>
      <c r="BI412" s="1768">
        <v>0</v>
      </c>
      <c r="BJ412" s="1768">
        <v>0</v>
      </c>
      <c r="BK412" s="1768">
        <v>180.78</v>
      </c>
      <c r="BL412" s="1768">
        <v>14</v>
      </c>
      <c r="BM412" s="1768"/>
      <c r="BN412" s="1768"/>
      <c r="BO412" s="1768"/>
      <c r="BP412" s="1768"/>
      <c r="BQ412" s="1768"/>
      <c r="BR412" s="1768"/>
      <c r="BS412" s="1768"/>
      <c r="BT412" s="1768">
        <v>2456.4072000000001</v>
      </c>
      <c r="BU412" s="1768"/>
      <c r="BV412" s="1768">
        <v>1673.5030349251708</v>
      </c>
      <c r="BW412" s="1768"/>
      <c r="BX412" s="1768"/>
      <c r="BY412" s="1768"/>
      <c r="BZ412" s="1768"/>
      <c r="CA412" s="1768"/>
      <c r="CB412" s="1768"/>
      <c r="CC412" s="1768"/>
      <c r="CD412" s="1768"/>
      <c r="CE412" s="1768"/>
      <c r="CF412" s="1768"/>
      <c r="CG412" s="1768"/>
      <c r="CH412" s="1768"/>
      <c r="CI412" s="1768">
        <v>1322.6808000000001</v>
      </c>
      <c r="CJ412" s="1768">
        <v>-219.63840000000005</v>
      </c>
      <c r="CK412" s="1768"/>
      <c r="CL412" s="1768"/>
      <c r="CM412" s="1768"/>
      <c r="CN412" s="1768"/>
      <c r="CO412" s="1768">
        <v>-841.09859999999992</v>
      </c>
      <c r="CP412" s="1768">
        <v>213.63480000000007</v>
      </c>
      <c r="CQ412" s="1768">
        <v>31</v>
      </c>
      <c r="CR412" s="1768">
        <v>244.42828236304604</v>
      </c>
      <c r="CS412" s="1768">
        <v>0</v>
      </c>
      <c r="CT412" s="1768">
        <v>0</v>
      </c>
      <c r="CU412" s="1768">
        <v>0</v>
      </c>
      <c r="CV412" s="1768">
        <v>0</v>
      </c>
      <c r="CW412" s="1768">
        <v>0</v>
      </c>
      <c r="CX412" s="1768">
        <v>0</v>
      </c>
      <c r="CY412" s="1768">
        <v>0</v>
      </c>
      <c r="CZ412" s="1768">
        <v>29.219622447467145</v>
      </c>
      <c r="DA412" s="1768">
        <v>0</v>
      </c>
      <c r="DB412" s="1768">
        <v>0</v>
      </c>
      <c r="DC412" s="1768">
        <v>213.63075272217407</v>
      </c>
      <c r="DD412" s="1768">
        <v>0</v>
      </c>
      <c r="DE412" s="1768">
        <v>0</v>
      </c>
      <c r="DF412" s="1768">
        <v>0</v>
      </c>
      <c r="DG412" s="1768">
        <v>2.1812258966018909</v>
      </c>
      <c r="DH412" s="1768">
        <v>0</v>
      </c>
      <c r="DI412" s="1768">
        <v>0</v>
      </c>
      <c r="DJ412" s="1768"/>
      <c r="DK412" s="1768">
        <v>0</v>
      </c>
      <c r="DL412" s="1768">
        <v>0</v>
      </c>
      <c r="DM412" s="1768">
        <v>0</v>
      </c>
      <c r="DN412" s="1768">
        <v>0</v>
      </c>
      <c r="DO412" s="1768">
        <v>0</v>
      </c>
      <c r="DP412" s="1768">
        <v>-0.60331870319729397</v>
      </c>
      <c r="DQ412" s="1768">
        <v>0</v>
      </c>
      <c r="DR412" s="1768">
        <v>0</v>
      </c>
      <c r="DS412" s="1768"/>
      <c r="DT412" s="1768"/>
      <c r="DU412" s="1768"/>
      <c r="DV412" s="1768">
        <v>1987.09046552273</v>
      </c>
      <c r="DW412" s="1768">
        <v>0</v>
      </c>
      <c r="DX412" s="1768">
        <v>0</v>
      </c>
      <c r="DY412" s="1768">
        <v>-841.09859999999981</v>
      </c>
      <c r="DZ412" s="1768">
        <v>213.63480000000004</v>
      </c>
      <c r="EA412" s="1768">
        <v>0</v>
      </c>
      <c r="EB412" s="1768">
        <v>0</v>
      </c>
      <c r="EC412" s="1768">
        <v>-871.88026657567661</v>
      </c>
      <c r="ED412" s="1768">
        <v>0</v>
      </c>
      <c r="EE412" s="1768">
        <v>0</v>
      </c>
      <c r="EF412" s="1768">
        <v>0</v>
      </c>
      <c r="EG412" s="1768">
        <v>0</v>
      </c>
      <c r="EH412" s="1768">
        <v>0</v>
      </c>
      <c r="EI412" s="1768">
        <v>0</v>
      </c>
      <c r="EJ412" s="1768">
        <v>0</v>
      </c>
      <c r="EK412" s="1768">
        <v>0</v>
      </c>
      <c r="EL412" s="1768">
        <v>0</v>
      </c>
      <c r="EM412" s="1768">
        <v>0</v>
      </c>
      <c r="EN412" s="1768">
        <v>0</v>
      </c>
      <c r="EO412" s="1768">
        <v>0</v>
      </c>
      <c r="EP412" s="1768">
        <v>0</v>
      </c>
      <c r="EQ412" s="1768">
        <v>0</v>
      </c>
      <c r="ER412" s="1768">
        <v>0</v>
      </c>
      <c r="ES412" s="1768">
        <v>0</v>
      </c>
      <c r="ET412" s="1768">
        <v>0</v>
      </c>
      <c r="EU412" s="1768">
        <v>0</v>
      </c>
      <c r="EV412" s="1768">
        <v>216</v>
      </c>
      <c r="EW412" s="1768">
        <v>0</v>
      </c>
      <c r="EX412" s="1768">
        <v>0</v>
      </c>
      <c r="EY412" s="1768">
        <v>0</v>
      </c>
      <c r="EZ412" s="1768"/>
      <c r="FA412" s="1768">
        <v>0</v>
      </c>
      <c r="FB412" s="1768"/>
      <c r="FC412" s="1768"/>
      <c r="FD412" s="1768"/>
      <c r="FE412" s="1768"/>
      <c r="FF412" s="1768">
        <v>0</v>
      </c>
      <c r="FG412" s="1768">
        <v>0</v>
      </c>
      <c r="FH412" s="1768">
        <v>0</v>
      </c>
      <c r="FI412" s="1768">
        <v>0</v>
      </c>
    </row>
    <row r="413" spans="1:165">
      <c r="A413" s="1768">
        <v>413</v>
      </c>
      <c r="B413" s="1768" t="s">
        <v>2374</v>
      </c>
      <c r="C413" s="1768" t="s">
        <v>2352</v>
      </c>
      <c r="D413" s="1768" t="s">
        <v>1821</v>
      </c>
      <c r="E413" s="1768" t="s">
        <v>887</v>
      </c>
      <c r="F413" s="1768" t="s">
        <v>2357</v>
      </c>
      <c r="G413" s="1768" t="s">
        <v>1237</v>
      </c>
      <c r="H413" s="1768" t="s">
        <v>1237</v>
      </c>
      <c r="I413" s="1768" t="s">
        <v>1237</v>
      </c>
      <c r="J413" s="1768" t="s">
        <v>2353</v>
      </c>
      <c r="K413" s="1769">
        <v>44774</v>
      </c>
      <c r="L413" s="1768">
        <v>0</v>
      </c>
      <c r="M413" s="1768">
        <v>0</v>
      </c>
      <c r="N413" s="1768">
        <v>15.704000000000001</v>
      </c>
      <c r="O413" s="1768">
        <v>15.704000000000001</v>
      </c>
      <c r="P413" s="1768">
        <v>15.704000000000001</v>
      </c>
      <c r="Q413" s="1768">
        <v>15.704000000000001</v>
      </c>
      <c r="R413" s="1768"/>
      <c r="S413" s="1768">
        <v>345.46</v>
      </c>
      <c r="T413" s="1768">
        <v>215.17</v>
      </c>
      <c r="U413" s="1768"/>
      <c r="V413" s="1768">
        <v>8804.1335199999994</v>
      </c>
      <c r="W413" s="1768">
        <v>8804.1335199999994</v>
      </c>
      <c r="X413" s="1768">
        <v>7550.4832000000006</v>
      </c>
      <c r="Y413" s="1768">
        <v>0</v>
      </c>
      <c r="Z413" s="1768">
        <v>0</v>
      </c>
      <c r="AA413" s="1768">
        <v>0</v>
      </c>
      <c r="AB413" s="1768">
        <v>0</v>
      </c>
      <c r="AC413" s="1768">
        <v>0</v>
      </c>
      <c r="AD413" s="1768">
        <v>1402.611827569689</v>
      </c>
      <c r="AE413" s="1768">
        <v>3970.1359631767118</v>
      </c>
      <c r="AF413" s="1768">
        <v>3309.8054678295166</v>
      </c>
      <c r="AG413" s="1768">
        <v>69.207126526875825</v>
      </c>
      <c r="AH413" s="1768">
        <v>0</v>
      </c>
      <c r="AI413" s="1768">
        <v>0</v>
      </c>
      <c r="AJ413" s="1768">
        <v>0</v>
      </c>
      <c r="AK413" s="1768">
        <v>0</v>
      </c>
      <c r="AL413" s="1768">
        <v>0</v>
      </c>
      <c r="AM413" s="1768"/>
      <c r="AN413" s="1768">
        <v>18.489850007709801</v>
      </c>
      <c r="AO413" s="1768">
        <v>0</v>
      </c>
      <c r="AP413" s="1768">
        <v>0</v>
      </c>
      <c r="AQ413" s="1768">
        <v>0</v>
      </c>
      <c r="AR413" s="1768">
        <v>0</v>
      </c>
      <c r="AS413" s="1768">
        <v>0</v>
      </c>
      <c r="AT413" s="1768">
        <v>0</v>
      </c>
      <c r="AU413" s="1768">
        <v>0</v>
      </c>
      <c r="AV413" s="1768">
        <v>0</v>
      </c>
      <c r="AW413" s="1768">
        <v>0</v>
      </c>
      <c r="AX413" s="1768">
        <v>0</v>
      </c>
      <c r="AY413" s="1768">
        <v>0</v>
      </c>
      <c r="AZ413" s="1768">
        <v>0</v>
      </c>
      <c r="BA413" s="1768"/>
      <c r="BB413" s="1768">
        <v>0</v>
      </c>
      <c r="BC413" s="1768">
        <v>0</v>
      </c>
      <c r="BD413" s="1768">
        <v>0</v>
      </c>
      <c r="BE413" s="1768">
        <v>0</v>
      </c>
      <c r="BF413" s="1768">
        <v>0</v>
      </c>
      <c r="BG413" s="1768">
        <v>33.793980066779014</v>
      </c>
      <c r="BH413" s="1768">
        <v>0</v>
      </c>
      <c r="BI413" s="1768">
        <v>0</v>
      </c>
      <c r="BJ413" s="1768">
        <v>0</v>
      </c>
      <c r="BK413" s="1768">
        <v>617.02</v>
      </c>
      <c r="BL413" s="1768">
        <v>59</v>
      </c>
      <c r="BM413" s="1768"/>
      <c r="BN413" s="1768"/>
      <c r="BO413" s="1768"/>
      <c r="BP413" s="1768"/>
      <c r="BQ413" s="1768"/>
      <c r="BR413" s="1768"/>
      <c r="BS413" s="1768"/>
      <c r="BT413" s="1768">
        <v>3020.19328</v>
      </c>
      <c r="BU413" s="1768"/>
      <c r="BV413" s="1768">
        <v>3343.5994478962957</v>
      </c>
      <c r="BW413" s="1768"/>
      <c r="BX413" s="1768"/>
      <c r="BY413" s="1768"/>
      <c r="BZ413" s="1768"/>
      <c r="CA413" s="1768"/>
      <c r="CB413" s="1768"/>
      <c r="CC413" s="1768"/>
      <c r="CD413" s="1768"/>
      <c r="CE413" s="1768"/>
      <c r="CF413" s="1768"/>
      <c r="CG413" s="1768"/>
      <c r="CH413" s="1768"/>
      <c r="CI413" s="1768">
        <v>4529.1359999999995</v>
      </c>
      <c r="CJ413" s="1768">
        <v>-753.24848000000111</v>
      </c>
      <c r="CK413" s="1768"/>
      <c r="CL413" s="1768"/>
      <c r="CM413" s="1768"/>
      <c r="CN413" s="1768"/>
      <c r="CO413" s="1768">
        <v>-1680.48504</v>
      </c>
      <c r="CP413" s="1768">
        <v>426.83472000000012</v>
      </c>
      <c r="CQ413" s="1768">
        <v>31</v>
      </c>
      <c r="CR413" s="1768">
        <v>488.3590007925286</v>
      </c>
      <c r="CS413" s="1768">
        <v>0</v>
      </c>
      <c r="CT413" s="1768">
        <v>0</v>
      </c>
      <c r="CU413" s="1768">
        <v>0</v>
      </c>
      <c r="CV413" s="1768">
        <v>0</v>
      </c>
      <c r="CW413" s="1768">
        <v>0</v>
      </c>
      <c r="CX413" s="1768">
        <v>0</v>
      </c>
      <c r="CY413" s="1768">
        <v>0</v>
      </c>
      <c r="CZ413" s="1768">
        <v>58.379764747458466</v>
      </c>
      <c r="DA413" s="1768">
        <v>0</v>
      </c>
      <c r="DB413" s="1768">
        <v>0</v>
      </c>
      <c r="DC413" s="1768">
        <v>426.82663368308158</v>
      </c>
      <c r="DD413" s="1768">
        <v>0</v>
      </c>
      <c r="DE413" s="1768">
        <v>0</v>
      </c>
      <c r="DF413" s="1768">
        <v>0</v>
      </c>
      <c r="DG413" s="1768">
        <v>4.3580116387068841</v>
      </c>
      <c r="DH413" s="1768">
        <v>0</v>
      </c>
      <c r="DI413" s="1768">
        <v>0</v>
      </c>
      <c r="DJ413" s="1768"/>
      <c r="DK413" s="1768">
        <v>0</v>
      </c>
      <c r="DL413" s="1768">
        <v>0</v>
      </c>
      <c r="DM413" s="1768">
        <v>0</v>
      </c>
      <c r="DN413" s="1768">
        <v>0</v>
      </c>
      <c r="DO413" s="1768">
        <v>0</v>
      </c>
      <c r="DP413" s="1768">
        <v>-1.2054092767188713</v>
      </c>
      <c r="DQ413" s="1768">
        <v>0</v>
      </c>
      <c r="DR413" s="1768">
        <v>0</v>
      </c>
      <c r="DS413" s="1768"/>
      <c r="DT413" s="1768"/>
      <c r="DU413" s="1768"/>
      <c r="DV413" s="1768">
        <v>3970.1359631767118</v>
      </c>
      <c r="DW413" s="1768">
        <v>0</v>
      </c>
      <c r="DX413" s="1768">
        <v>0</v>
      </c>
      <c r="DY413" s="1768">
        <v>-1680.4850399999996</v>
      </c>
      <c r="DZ413" s="1768">
        <v>426.83471999999983</v>
      </c>
      <c r="EA413" s="1768">
        <v>0</v>
      </c>
      <c r="EB413" s="1768">
        <v>0</v>
      </c>
      <c r="EC413" s="1768">
        <v>-1741.9857132702837</v>
      </c>
      <c r="ED413" s="1768">
        <v>0</v>
      </c>
      <c r="EE413" s="1768">
        <v>0</v>
      </c>
      <c r="EF413" s="1768">
        <v>0</v>
      </c>
      <c r="EG413" s="1768">
        <v>0</v>
      </c>
      <c r="EH413" s="1768">
        <v>0</v>
      </c>
      <c r="EI413" s="1768">
        <v>0</v>
      </c>
      <c r="EJ413" s="1768">
        <v>0</v>
      </c>
      <c r="EK413" s="1768">
        <v>0</v>
      </c>
      <c r="EL413" s="1768">
        <v>0</v>
      </c>
      <c r="EM413" s="1768">
        <v>0</v>
      </c>
      <c r="EN413" s="1768">
        <v>0</v>
      </c>
      <c r="EO413" s="1768">
        <v>0</v>
      </c>
      <c r="EP413" s="1768">
        <v>0</v>
      </c>
      <c r="EQ413" s="1768">
        <v>0</v>
      </c>
      <c r="ER413" s="1768">
        <v>0</v>
      </c>
      <c r="ES413" s="1768">
        <v>0</v>
      </c>
      <c r="ET413" s="1768">
        <v>0</v>
      </c>
      <c r="EU413" s="1768">
        <v>0</v>
      </c>
      <c r="EV413" s="1768">
        <v>216</v>
      </c>
      <c r="EW413" s="1768">
        <v>0</v>
      </c>
      <c r="EX413" s="1768">
        <v>0</v>
      </c>
      <c r="EY413" s="1768">
        <v>0</v>
      </c>
      <c r="EZ413" s="1768"/>
      <c r="FA413" s="1768">
        <v>0</v>
      </c>
      <c r="FB413" s="1768"/>
      <c r="FC413" s="1768"/>
      <c r="FD413" s="1768"/>
      <c r="FE413" s="1768"/>
      <c r="FF413" s="1768">
        <v>0</v>
      </c>
      <c r="FG413" s="1768">
        <v>0</v>
      </c>
      <c r="FH413" s="1768">
        <v>0</v>
      </c>
      <c r="FI413" s="1768">
        <v>0</v>
      </c>
    </row>
    <row r="414" spans="1:165">
      <c r="A414" s="1768">
        <v>414</v>
      </c>
      <c r="B414" s="1768" t="s">
        <v>2374</v>
      </c>
      <c r="C414" s="1768" t="s">
        <v>2352</v>
      </c>
      <c r="D414" s="1768" t="s">
        <v>1821</v>
      </c>
      <c r="E414" s="1768" t="s">
        <v>887</v>
      </c>
      <c r="F414" s="1768" t="s">
        <v>2358</v>
      </c>
      <c r="G414" s="1768" t="s">
        <v>1237</v>
      </c>
      <c r="H414" s="1768" t="s">
        <v>1237</v>
      </c>
      <c r="I414" s="1768" t="s">
        <v>1237</v>
      </c>
      <c r="J414" s="1768" t="s">
        <v>2353</v>
      </c>
      <c r="K414" s="1769">
        <v>44774</v>
      </c>
      <c r="L414" s="1768">
        <v>0</v>
      </c>
      <c r="M414" s="1768">
        <v>0</v>
      </c>
      <c r="N414" s="1768">
        <v>14.917</v>
      </c>
      <c r="O414" s="1768">
        <v>14.917</v>
      </c>
      <c r="P414" s="1768">
        <v>14.917</v>
      </c>
      <c r="Q414" s="1768">
        <v>14.917</v>
      </c>
      <c r="R414" s="1768"/>
      <c r="S414" s="1768">
        <v>345.46</v>
      </c>
      <c r="T414" s="1768">
        <v>215.17</v>
      </c>
      <c r="U414" s="1768"/>
      <c r="V414" s="1768">
        <v>8362.9177099999997</v>
      </c>
      <c r="W414" s="1768">
        <v>8362.9177099999997</v>
      </c>
      <c r="X414" s="1768">
        <v>7172.0935999999992</v>
      </c>
      <c r="Y414" s="1768">
        <v>0</v>
      </c>
      <c r="Z414" s="1768">
        <v>0</v>
      </c>
      <c r="AA414" s="1768">
        <v>0</v>
      </c>
      <c r="AB414" s="1768">
        <v>0</v>
      </c>
      <c r="AC414" s="1768">
        <v>0</v>
      </c>
      <c r="AD414" s="1768">
        <v>1332.3204681518753</v>
      </c>
      <c r="AE414" s="1768">
        <v>3771.1741061326416</v>
      </c>
      <c r="AF414" s="1768">
        <v>3143.9358229503882</v>
      </c>
      <c r="AG414" s="1768">
        <v>65.738837646549072</v>
      </c>
      <c r="AH414" s="1768">
        <v>0</v>
      </c>
      <c r="AI414" s="1768">
        <v>0</v>
      </c>
      <c r="AJ414" s="1768">
        <v>0</v>
      </c>
      <c r="AK414" s="1768">
        <v>0</v>
      </c>
      <c r="AL414" s="1768">
        <v>0</v>
      </c>
      <c r="AM414" s="1768"/>
      <c r="AN414" s="1768">
        <v>17.563238191862396</v>
      </c>
      <c r="AO414" s="1768">
        <v>0</v>
      </c>
      <c r="AP414" s="1768">
        <v>0</v>
      </c>
      <c r="AQ414" s="1768">
        <v>0</v>
      </c>
      <c r="AR414" s="1768">
        <v>0</v>
      </c>
      <c r="AS414" s="1768">
        <v>0</v>
      </c>
      <c r="AT414" s="1768">
        <v>0</v>
      </c>
      <c r="AU414" s="1768">
        <v>0</v>
      </c>
      <c r="AV414" s="1768">
        <v>0</v>
      </c>
      <c r="AW414" s="1768">
        <v>0</v>
      </c>
      <c r="AX414" s="1768">
        <v>0</v>
      </c>
      <c r="AY414" s="1768">
        <v>0</v>
      </c>
      <c r="AZ414" s="1768">
        <v>0</v>
      </c>
      <c r="BA414" s="1768"/>
      <c r="BB414" s="1768">
        <v>0</v>
      </c>
      <c r="BC414" s="1768">
        <v>0</v>
      </c>
      <c r="BD414" s="1768">
        <v>0</v>
      </c>
      <c r="BE414" s="1768">
        <v>0</v>
      </c>
      <c r="BF414" s="1768">
        <v>0</v>
      </c>
      <c r="BG414" s="1768">
        <v>32.10040758126226</v>
      </c>
      <c r="BH414" s="1768">
        <v>0</v>
      </c>
      <c r="BI414" s="1768">
        <v>0</v>
      </c>
      <c r="BJ414" s="1768">
        <v>0</v>
      </c>
      <c r="BK414" s="1768">
        <v>1080.1300000000001</v>
      </c>
      <c r="BL414" s="1768">
        <v>124</v>
      </c>
      <c r="BM414" s="1768"/>
      <c r="BN414" s="1768"/>
      <c r="BO414" s="1768"/>
      <c r="BP414" s="1768"/>
      <c r="BQ414" s="1768"/>
      <c r="BR414" s="1768"/>
      <c r="BS414" s="1768"/>
      <c r="BT414" s="1768">
        <v>717.35852999999963</v>
      </c>
      <c r="BU414" s="1768"/>
      <c r="BV414" s="1768">
        <v>3176.0362305316503</v>
      </c>
      <c r="BW414" s="1768"/>
      <c r="BX414" s="1768"/>
      <c r="BY414" s="1768"/>
      <c r="BZ414" s="1768"/>
      <c r="CA414" s="1768"/>
      <c r="CB414" s="1768"/>
      <c r="CC414" s="1768"/>
      <c r="CD414" s="1768"/>
      <c r="CE414" s="1768"/>
      <c r="CF414" s="1768"/>
      <c r="CG414" s="1768"/>
      <c r="CH414" s="1768"/>
      <c r="CI414" s="1768">
        <v>6456.0331999999999</v>
      </c>
      <c r="CJ414" s="1768">
        <v>-1070.518320000001</v>
      </c>
      <c r="CK414" s="1768"/>
      <c r="CL414" s="1768"/>
      <c r="CM414" s="1768"/>
      <c r="CN414" s="1768"/>
      <c r="CO414" s="1768">
        <v>-1596.2681699999998</v>
      </c>
      <c r="CP414" s="1768">
        <v>405.44406000000009</v>
      </c>
      <c r="CQ414" s="1768">
        <v>31</v>
      </c>
      <c r="CR414" s="1768">
        <v>463.88507481037595</v>
      </c>
      <c r="CS414" s="1768">
        <v>0</v>
      </c>
      <c r="CT414" s="1768">
        <v>0</v>
      </c>
      <c r="CU414" s="1768">
        <v>0</v>
      </c>
      <c r="CV414" s="1768">
        <v>0</v>
      </c>
      <c r="CW414" s="1768">
        <v>0</v>
      </c>
      <c r="CX414" s="1768">
        <v>0</v>
      </c>
      <c r="CY414" s="1768">
        <v>0</v>
      </c>
      <c r="CZ414" s="1768">
        <v>55.454084993494462</v>
      </c>
      <c r="DA414" s="1768">
        <v>0</v>
      </c>
      <c r="DB414" s="1768">
        <v>0</v>
      </c>
      <c r="DC414" s="1768">
        <v>405.43637892578499</v>
      </c>
      <c r="DD414" s="1768">
        <v>0</v>
      </c>
      <c r="DE414" s="1768">
        <v>0</v>
      </c>
      <c r="DF414" s="1768">
        <v>0</v>
      </c>
      <c r="DG414" s="1768">
        <v>4.1396115393906427</v>
      </c>
      <c r="DH414" s="1768">
        <v>0</v>
      </c>
      <c r="DI414" s="1768">
        <v>0</v>
      </c>
      <c r="DJ414" s="1768"/>
      <c r="DK414" s="1768">
        <v>0</v>
      </c>
      <c r="DL414" s="1768">
        <v>0</v>
      </c>
      <c r="DM414" s="1768">
        <v>0</v>
      </c>
      <c r="DN414" s="1768">
        <v>0</v>
      </c>
      <c r="DO414" s="1768">
        <v>0</v>
      </c>
      <c r="DP414" s="1768">
        <v>-1.1450006482944062</v>
      </c>
      <c r="DQ414" s="1768">
        <v>0</v>
      </c>
      <c r="DR414" s="1768">
        <v>0</v>
      </c>
      <c r="DS414" s="1768"/>
      <c r="DT414" s="1768"/>
      <c r="DU414" s="1768"/>
      <c r="DV414" s="1768">
        <v>3771.1741061326416</v>
      </c>
      <c r="DW414" s="1768">
        <v>0</v>
      </c>
      <c r="DX414" s="1768">
        <v>0</v>
      </c>
      <c r="DY414" s="1768">
        <v>-1596.2681700000003</v>
      </c>
      <c r="DZ414" s="1768">
        <v>405.44405999999981</v>
      </c>
      <c r="EA414" s="1768">
        <v>0</v>
      </c>
      <c r="EB414" s="1768">
        <v>0</v>
      </c>
      <c r="EC414" s="1768">
        <v>-1654.6867603701485</v>
      </c>
      <c r="ED414" s="1768">
        <v>0</v>
      </c>
      <c r="EE414" s="1768">
        <v>0</v>
      </c>
      <c r="EF414" s="1768">
        <v>0</v>
      </c>
      <c r="EG414" s="1768">
        <v>0</v>
      </c>
      <c r="EH414" s="1768">
        <v>0</v>
      </c>
      <c r="EI414" s="1768">
        <v>0</v>
      </c>
      <c r="EJ414" s="1768">
        <v>0</v>
      </c>
      <c r="EK414" s="1768">
        <v>0</v>
      </c>
      <c r="EL414" s="1768">
        <v>0</v>
      </c>
      <c r="EM414" s="1768">
        <v>0</v>
      </c>
      <c r="EN414" s="1768">
        <v>0</v>
      </c>
      <c r="EO414" s="1768">
        <v>0</v>
      </c>
      <c r="EP414" s="1768">
        <v>0</v>
      </c>
      <c r="EQ414" s="1768">
        <v>0</v>
      </c>
      <c r="ER414" s="1768">
        <v>0</v>
      </c>
      <c r="ES414" s="1768">
        <v>0</v>
      </c>
      <c r="ET414" s="1768">
        <v>0</v>
      </c>
      <c r="EU414" s="1768">
        <v>0</v>
      </c>
      <c r="EV414" s="1768">
        <v>216</v>
      </c>
      <c r="EW414" s="1768">
        <v>0</v>
      </c>
      <c r="EX414" s="1768">
        <v>0</v>
      </c>
      <c r="EY414" s="1768">
        <v>0</v>
      </c>
      <c r="EZ414" s="1768"/>
      <c r="FA414" s="1768">
        <v>0</v>
      </c>
      <c r="FB414" s="1768"/>
      <c r="FC414" s="1768"/>
      <c r="FD414" s="1768"/>
      <c r="FE414" s="1768"/>
      <c r="FF414" s="1768">
        <v>0</v>
      </c>
      <c r="FG414" s="1768">
        <v>0</v>
      </c>
      <c r="FH414" s="1768">
        <v>0</v>
      </c>
      <c r="FI414" s="1768">
        <v>0</v>
      </c>
    </row>
    <row r="415" spans="1:165">
      <c r="A415" s="1768">
        <v>415</v>
      </c>
      <c r="B415" s="1768" t="s">
        <v>2374</v>
      </c>
      <c r="C415" s="1768" t="s">
        <v>2352</v>
      </c>
      <c r="D415" s="1768" t="s">
        <v>1821</v>
      </c>
      <c r="E415" s="1768" t="s">
        <v>887</v>
      </c>
      <c r="F415" s="1768" t="s">
        <v>2359</v>
      </c>
      <c r="G415" s="1768" t="s">
        <v>1237</v>
      </c>
      <c r="H415" s="1768" t="s">
        <v>1237</v>
      </c>
      <c r="I415" s="1768" t="s">
        <v>1237</v>
      </c>
      <c r="J415" s="1768" t="s">
        <v>2353</v>
      </c>
      <c r="K415" s="1769">
        <v>44774</v>
      </c>
      <c r="L415" s="1768">
        <v>0</v>
      </c>
      <c r="M415" s="1768">
        <v>0</v>
      </c>
      <c r="N415" s="1768">
        <v>4.8789999999999996</v>
      </c>
      <c r="O415" s="1768">
        <v>4.8789999999999996</v>
      </c>
      <c r="P415" s="1768">
        <v>4.8789999999999996</v>
      </c>
      <c r="Q415" s="1768">
        <v>4.8789999999999996</v>
      </c>
      <c r="R415" s="1768"/>
      <c r="S415" s="1768">
        <v>345.46</v>
      </c>
      <c r="T415" s="1768">
        <v>215.17</v>
      </c>
      <c r="U415" s="1768"/>
      <c r="V415" s="1768">
        <v>2735.3137699999997</v>
      </c>
      <c r="W415" s="1768">
        <v>2735.3137699999997</v>
      </c>
      <c r="X415" s="1768">
        <v>2345.8231999999998</v>
      </c>
      <c r="Y415" s="1768">
        <v>0</v>
      </c>
      <c r="Z415" s="1768">
        <v>0</v>
      </c>
      <c r="AA415" s="1768">
        <v>0</v>
      </c>
      <c r="AB415" s="1768">
        <v>0</v>
      </c>
      <c r="AC415" s="1768">
        <v>0</v>
      </c>
      <c r="AD415" s="1768">
        <v>435.77070215948237</v>
      </c>
      <c r="AE415" s="1768">
        <v>1233.4623894765139</v>
      </c>
      <c r="AF415" s="1768">
        <v>1028.3074934755609</v>
      </c>
      <c r="AG415" s="1768">
        <v>21.501628268251853</v>
      </c>
      <c r="AH415" s="1768">
        <v>0</v>
      </c>
      <c r="AI415" s="1768">
        <v>0</v>
      </c>
      <c r="AJ415" s="1768">
        <v>0</v>
      </c>
      <c r="AK415" s="1768">
        <v>0</v>
      </c>
      <c r="AL415" s="1768">
        <v>0</v>
      </c>
      <c r="AM415" s="1768"/>
      <c r="AN415" s="1768">
        <v>5.7445222992623597</v>
      </c>
      <c r="AO415" s="1768">
        <v>0</v>
      </c>
      <c r="AP415" s="1768">
        <v>0</v>
      </c>
      <c r="AQ415" s="1768">
        <v>0</v>
      </c>
      <c r="AR415" s="1768">
        <v>0</v>
      </c>
      <c r="AS415" s="1768">
        <v>0</v>
      </c>
      <c r="AT415" s="1768">
        <v>0</v>
      </c>
      <c r="AU415" s="1768">
        <v>0</v>
      </c>
      <c r="AV415" s="1768">
        <v>0</v>
      </c>
      <c r="AW415" s="1768">
        <v>0</v>
      </c>
      <c r="AX415" s="1768">
        <v>0</v>
      </c>
      <c r="AY415" s="1768">
        <v>0</v>
      </c>
      <c r="AZ415" s="1768">
        <v>0</v>
      </c>
      <c r="BA415" s="1768"/>
      <c r="BB415" s="1768">
        <v>0</v>
      </c>
      <c r="BC415" s="1768">
        <v>0</v>
      </c>
      <c r="BD415" s="1768">
        <v>0</v>
      </c>
      <c r="BE415" s="1768">
        <v>0</v>
      </c>
      <c r="BF415" s="1768">
        <v>0</v>
      </c>
      <c r="BG415" s="1768">
        <v>10.499288636386577</v>
      </c>
      <c r="BH415" s="1768">
        <v>0</v>
      </c>
      <c r="BI415" s="1768">
        <v>0</v>
      </c>
      <c r="BJ415" s="1768">
        <v>0</v>
      </c>
      <c r="BK415" s="1768">
        <v>480.7</v>
      </c>
      <c r="BL415" s="1768">
        <v>65</v>
      </c>
      <c r="BM415" s="1768"/>
      <c r="BN415" s="1768"/>
      <c r="BO415" s="1768"/>
      <c r="BP415" s="1768"/>
      <c r="BQ415" s="1768"/>
      <c r="BR415" s="1768"/>
      <c r="BS415" s="1768"/>
      <c r="BT415" s="1768"/>
      <c r="BU415" s="1768"/>
      <c r="BV415" s="1768">
        <v>1038.8067821119475</v>
      </c>
      <c r="BW415" s="1768"/>
      <c r="BX415" s="1768"/>
      <c r="BY415" s="1768"/>
      <c r="BZ415" s="1768"/>
      <c r="CA415" s="1768"/>
      <c r="CB415" s="1768"/>
      <c r="CC415" s="1768"/>
      <c r="CD415" s="1768"/>
      <c r="CE415" s="1768"/>
      <c r="CF415" s="1768"/>
      <c r="CG415" s="1768"/>
      <c r="CH415" s="1768"/>
      <c r="CI415" s="1768">
        <v>2346.3040000000001</v>
      </c>
      <c r="CJ415" s="1768">
        <v>-389.03976999999986</v>
      </c>
      <c r="CK415" s="1768"/>
      <c r="CL415" s="1768"/>
      <c r="CM415" s="1768"/>
      <c r="CN415" s="1768"/>
      <c r="CO415" s="1768">
        <v>-522.10178999999994</v>
      </c>
      <c r="CP415" s="1768">
        <v>132.61122000000003</v>
      </c>
      <c r="CQ415" s="1768">
        <v>31</v>
      </c>
      <c r="CR415" s="1768">
        <v>151.72590199100523</v>
      </c>
      <c r="CS415" s="1768">
        <v>0</v>
      </c>
      <c r="CT415" s="1768">
        <v>0</v>
      </c>
      <c r="CU415" s="1768">
        <v>0</v>
      </c>
      <c r="CV415" s="1768">
        <v>0</v>
      </c>
      <c r="CW415" s="1768">
        <v>0</v>
      </c>
      <c r="CX415" s="1768">
        <v>0</v>
      </c>
      <c r="CY415" s="1768">
        <v>0</v>
      </c>
      <c r="CZ415" s="1768">
        <v>18.137727470889615</v>
      </c>
      <c r="DA415" s="1768">
        <v>0</v>
      </c>
      <c r="DB415" s="1768">
        <v>0</v>
      </c>
      <c r="DC415" s="1768">
        <v>132.60870770120709</v>
      </c>
      <c r="DD415" s="1768">
        <v>0</v>
      </c>
      <c r="DE415" s="1768">
        <v>0</v>
      </c>
      <c r="DF415" s="1768">
        <v>0</v>
      </c>
      <c r="DG415" s="1768">
        <v>1.3539696118982985</v>
      </c>
      <c r="DH415" s="1768">
        <v>0</v>
      </c>
      <c r="DI415" s="1768">
        <v>0</v>
      </c>
      <c r="DJ415" s="1768"/>
      <c r="DK415" s="1768">
        <v>0</v>
      </c>
      <c r="DL415" s="1768">
        <v>0</v>
      </c>
      <c r="DM415" s="1768">
        <v>0</v>
      </c>
      <c r="DN415" s="1768">
        <v>0</v>
      </c>
      <c r="DO415" s="1768">
        <v>0</v>
      </c>
      <c r="DP415" s="1768">
        <v>-0.37450279298977041</v>
      </c>
      <c r="DQ415" s="1768">
        <v>0</v>
      </c>
      <c r="DR415" s="1768">
        <v>0</v>
      </c>
      <c r="DS415" s="1768"/>
      <c r="DT415" s="1768"/>
      <c r="DU415" s="1768"/>
      <c r="DV415" s="1768">
        <v>1233.4623894765139</v>
      </c>
      <c r="DW415" s="1768">
        <v>0</v>
      </c>
      <c r="DX415" s="1768">
        <v>0</v>
      </c>
      <c r="DY415" s="1768">
        <v>-522.10178999999994</v>
      </c>
      <c r="DZ415" s="1768">
        <v>132.61122</v>
      </c>
      <c r="EA415" s="1768">
        <v>0</v>
      </c>
      <c r="EB415" s="1768">
        <v>0</v>
      </c>
      <c r="EC415" s="1768">
        <v>-541.20913748380735</v>
      </c>
      <c r="ED415" s="1768">
        <v>0</v>
      </c>
      <c r="EE415" s="1768">
        <v>0</v>
      </c>
      <c r="EF415" s="1768">
        <v>0</v>
      </c>
      <c r="EG415" s="1768">
        <v>0</v>
      </c>
      <c r="EH415" s="1768">
        <v>0</v>
      </c>
      <c r="EI415" s="1768">
        <v>0</v>
      </c>
      <c r="EJ415" s="1768">
        <v>0</v>
      </c>
      <c r="EK415" s="1768">
        <v>0</v>
      </c>
      <c r="EL415" s="1768">
        <v>0</v>
      </c>
      <c r="EM415" s="1768">
        <v>0</v>
      </c>
      <c r="EN415" s="1768">
        <v>0</v>
      </c>
      <c r="EO415" s="1768">
        <v>0</v>
      </c>
      <c r="EP415" s="1768">
        <v>0</v>
      </c>
      <c r="EQ415" s="1768">
        <v>0</v>
      </c>
      <c r="ER415" s="1768">
        <v>0</v>
      </c>
      <c r="ES415" s="1768">
        <v>0</v>
      </c>
      <c r="ET415" s="1768">
        <v>0</v>
      </c>
      <c r="EU415" s="1768">
        <v>0</v>
      </c>
      <c r="EV415" s="1768">
        <v>216</v>
      </c>
      <c r="EW415" s="1768">
        <v>0</v>
      </c>
      <c r="EX415" s="1768">
        <v>0</v>
      </c>
      <c r="EY415" s="1768">
        <v>0</v>
      </c>
      <c r="EZ415" s="1768"/>
      <c r="FA415" s="1768">
        <v>0</v>
      </c>
      <c r="FB415" s="1768"/>
      <c r="FC415" s="1768"/>
      <c r="FD415" s="1768"/>
      <c r="FE415" s="1768"/>
      <c r="FF415" s="1768">
        <v>0</v>
      </c>
      <c r="FG415" s="1768">
        <v>0</v>
      </c>
      <c r="FH415" s="1768">
        <v>0</v>
      </c>
      <c r="FI415" s="1768">
        <v>0</v>
      </c>
    </row>
    <row r="416" spans="1:165">
      <c r="A416" s="1768">
        <v>416</v>
      </c>
      <c r="B416" s="1768" t="s">
        <v>2374</v>
      </c>
      <c r="C416" s="1768" t="s">
        <v>2352</v>
      </c>
      <c r="D416" s="1768" t="s">
        <v>1824</v>
      </c>
      <c r="E416" s="1768" t="s">
        <v>888</v>
      </c>
      <c r="F416" s="1768" t="s">
        <v>1237</v>
      </c>
      <c r="G416" s="1768" t="s">
        <v>1237</v>
      </c>
      <c r="H416" s="1768" t="s">
        <v>1237</v>
      </c>
      <c r="I416" s="1768" t="s">
        <v>1237</v>
      </c>
      <c r="J416" s="1768" t="s">
        <v>2353</v>
      </c>
      <c r="K416" s="1769">
        <v>44774</v>
      </c>
      <c r="L416" s="1768">
        <v>0</v>
      </c>
      <c r="M416" s="1768">
        <v>0</v>
      </c>
      <c r="N416" s="1768">
        <v>23.27</v>
      </c>
      <c r="O416" s="1768">
        <v>23.27</v>
      </c>
      <c r="P416" s="1768">
        <v>23.27</v>
      </c>
      <c r="Q416" s="1768">
        <v>23.27</v>
      </c>
      <c r="R416" s="1768"/>
      <c r="S416" s="1768">
        <v>415.98</v>
      </c>
      <c r="T416" s="1768">
        <v>215.17</v>
      </c>
      <c r="U416" s="1768"/>
      <c r="V416" s="1768">
        <v>14686.860499999999</v>
      </c>
      <c r="W416" s="1768">
        <v>14686.860499999999</v>
      </c>
      <c r="X416" s="1768">
        <v>12764.525799999999</v>
      </c>
      <c r="Y416" s="1768">
        <v>0</v>
      </c>
      <c r="Z416" s="1768">
        <v>1421.4851376517361</v>
      </c>
      <c r="AA416" s="1768">
        <v>0</v>
      </c>
      <c r="AB416" s="1768">
        <v>0</v>
      </c>
      <c r="AC416" s="1768">
        <v>0</v>
      </c>
      <c r="AD416" s="1768">
        <v>2078.3734862166748</v>
      </c>
      <c r="AE416" s="1768">
        <v>5882.9001441111868</v>
      </c>
      <c r="AF416" s="1768">
        <v>4904.4302875950616</v>
      </c>
      <c r="AG416" s="1768">
        <v>102.55029510191036</v>
      </c>
      <c r="AH416" s="1768">
        <v>0</v>
      </c>
      <c r="AI416" s="1768">
        <v>0</v>
      </c>
      <c r="AJ416" s="1768">
        <v>0</v>
      </c>
      <c r="AK416" s="1768">
        <v>0</v>
      </c>
      <c r="AL416" s="1768">
        <v>219.65591673647276</v>
      </c>
      <c r="AM416" s="1768"/>
      <c r="AN416" s="1768">
        <v>27.398039332616342</v>
      </c>
      <c r="AO416" s="1768">
        <v>0</v>
      </c>
      <c r="AP416" s="1768">
        <v>0</v>
      </c>
      <c r="AQ416" s="1768">
        <v>0</v>
      </c>
      <c r="AR416" s="1768">
        <v>0</v>
      </c>
      <c r="AS416" s="1768">
        <v>0</v>
      </c>
      <c r="AT416" s="1768">
        <v>0</v>
      </c>
      <c r="AU416" s="1768">
        <v>0</v>
      </c>
      <c r="AV416" s="1768">
        <v>0</v>
      </c>
      <c r="AW416" s="1768">
        <v>0</v>
      </c>
      <c r="AX416" s="1768">
        <v>0</v>
      </c>
      <c r="AY416" s="1768">
        <v>0</v>
      </c>
      <c r="AZ416" s="1768">
        <v>0</v>
      </c>
      <c r="BA416" s="1768"/>
      <c r="BB416" s="1768">
        <v>0</v>
      </c>
      <c r="BC416" s="1768">
        <v>0</v>
      </c>
      <c r="BD416" s="1768">
        <v>0</v>
      </c>
      <c r="BE416" s="1768">
        <v>0</v>
      </c>
      <c r="BF416" s="1768">
        <v>0</v>
      </c>
      <c r="BG416" s="1768">
        <v>50.075516820806655</v>
      </c>
      <c r="BH416" s="1768">
        <v>0</v>
      </c>
      <c r="BI416" s="1768">
        <v>0</v>
      </c>
      <c r="BJ416" s="1768">
        <v>0</v>
      </c>
      <c r="BK416" s="1768">
        <v>2614.37</v>
      </c>
      <c r="BL416" s="1768">
        <v>42</v>
      </c>
      <c r="BM416" s="1768"/>
      <c r="BN416" s="1768"/>
      <c r="BO416" s="1768"/>
      <c r="BP416" s="1768"/>
      <c r="BQ416" s="1768"/>
      <c r="BR416" s="1768"/>
      <c r="BS416" s="1768"/>
      <c r="BT416" s="1768"/>
      <c r="BU416" s="1768"/>
      <c r="BV416" s="1768">
        <v>4954.5058044158686</v>
      </c>
      <c r="BW416" s="1768"/>
      <c r="BX416" s="1768"/>
      <c r="BY416" s="1768"/>
      <c r="BZ416" s="1768"/>
      <c r="CA416" s="1768"/>
      <c r="CB416" s="1768"/>
      <c r="CC416" s="1768"/>
      <c r="CD416" s="1768"/>
      <c r="CE416" s="1768"/>
      <c r="CF416" s="1768"/>
      <c r="CG416" s="1768"/>
      <c r="CH416" s="1768"/>
      <c r="CI416" s="1768">
        <v>12764.525799999999</v>
      </c>
      <c r="CJ416" s="1768">
        <v>-1922.3647000000001</v>
      </c>
      <c r="CK416" s="1768"/>
      <c r="CL416" s="1768"/>
      <c r="CM416" s="1768"/>
      <c r="CN416" s="1768"/>
      <c r="CO416" s="1768">
        <v>-2554.8133000000003</v>
      </c>
      <c r="CP416" s="1768">
        <v>632.47860000000014</v>
      </c>
      <c r="CQ416" s="1768">
        <v>31</v>
      </c>
      <c r="CR416" s="1768">
        <v>658.86430721547731</v>
      </c>
      <c r="CS416" s="1768">
        <v>0</v>
      </c>
      <c r="CT416" s="1768">
        <v>0</v>
      </c>
      <c r="CU416" s="1768">
        <v>0</v>
      </c>
      <c r="CV416" s="1768">
        <v>0</v>
      </c>
      <c r="CW416" s="1768">
        <v>0</v>
      </c>
      <c r="CX416" s="1768">
        <v>0</v>
      </c>
      <c r="CY416" s="1768">
        <v>0</v>
      </c>
      <c r="CZ416" s="1768">
        <v>86.506439485058308</v>
      </c>
      <c r="DA416" s="1768">
        <v>0</v>
      </c>
      <c r="DB416" s="1768">
        <v>0</v>
      </c>
      <c r="DC416" s="1768">
        <v>632.46661779198348</v>
      </c>
      <c r="DD416" s="1768">
        <v>0</v>
      </c>
      <c r="DE416" s="1768">
        <v>0</v>
      </c>
      <c r="DF416" s="1768">
        <v>0</v>
      </c>
      <c r="DG416" s="1768">
        <v>6.4576496964282413</v>
      </c>
      <c r="DH416" s="1768">
        <v>0</v>
      </c>
      <c r="DI416" s="1768">
        <v>-57.79616048978346</v>
      </c>
      <c r="DJ416" s="1768"/>
      <c r="DK416" s="1768">
        <v>0</v>
      </c>
      <c r="DL416" s="1768">
        <v>0</v>
      </c>
      <c r="DM416" s="1768">
        <v>0</v>
      </c>
      <c r="DN416" s="1768">
        <v>0</v>
      </c>
      <c r="DO416" s="1768">
        <v>-6.9840781710857414</v>
      </c>
      <c r="DP416" s="1768">
        <v>-1.7861610971248147</v>
      </c>
      <c r="DQ416" s="1768">
        <v>0</v>
      </c>
      <c r="DR416" s="1768">
        <v>0</v>
      </c>
      <c r="DS416" s="1768"/>
      <c r="DT416" s="1768"/>
      <c r="DU416" s="1768"/>
      <c r="DV416" s="1768">
        <v>5882.9001441111868</v>
      </c>
      <c r="DW416" s="1768">
        <v>0</v>
      </c>
      <c r="DX416" s="1768">
        <v>0</v>
      </c>
      <c r="DY416" s="1768">
        <v>-2554.8133000000007</v>
      </c>
      <c r="DZ416" s="1768">
        <v>632.47860000000037</v>
      </c>
      <c r="EA416" s="1768">
        <v>0</v>
      </c>
      <c r="EB416" s="1768">
        <v>0</v>
      </c>
      <c r="EC416" s="1768">
        <v>-2581.2536645312971</v>
      </c>
      <c r="ED416" s="1768">
        <v>0</v>
      </c>
      <c r="EE416" s="1768">
        <v>0</v>
      </c>
      <c r="EF416" s="1768">
        <v>0</v>
      </c>
      <c r="EG416" s="1768">
        <v>0</v>
      </c>
      <c r="EH416" s="1768">
        <v>0</v>
      </c>
      <c r="EI416" s="1768">
        <v>0</v>
      </c>
      <c r="EJ416" s="1768">
        <v>0</v>
      </c>
      <c r="EK416" s="1768">
        <v>0</v>
      </c>
      <c r="EL416" s="1768">
        <v>0</v>
      </c>
      <c r="EM416" s="1768">
        <v>0</v>
      </c>
      <c r="EN416" s="1768">
        <v>0</v>
      </c>
      <c r="EO416" s="1768">
        <v>0</v>
      </c>
      <c r="EP416" s="1768">
        <v>0</v>
      </c>
      <c r="EQ416" s="1768">
        <v>0</v>
      </c>
      <c r="ER416" s="1768">
        <v>0</v>
      </c>
      <c r="ES416" s="1768">
        <v>0</v>
      </c>
      <c r="ET416" s="1768">
        <v>0</v>
      </c>
      <c r="EU416" s="1768">
        <v>0</v>
      </c>
      <c r="EV416" s="1768">
        <v>216</v>
      </c>
      <c r="EW416" s="1768">
        <v>0</v>
      </c>
      <c r="EX416" s="1768">
        <v>0</v>
      </c>
      <c r="EY416" s="1768">
        <v>0</v>
      </c>
      <c r="EZ416" s="1768"/>
      <c r="FA416" s="1768">
        <v>0</v>
      </c>
      <c r="FB416" s="1768"/>
      <c r="FC416" s="1768"/>
      <c r="FD416" s="1768"/>
      <c r="FE416" s="1768"/>
      <c r="FF416" s="1768">
        <v>0</v>
      </c>
      <c r="FG416" s="1768">
        <v>0</v>
      </c>
      <c r="FH416" s="1768">
        <v>0</v>
      </c>
      <c r="FI416" s="1768">
        <v>0</v>
      </c>
    </row>
    <row r="417" spans="1:165">
      <c r="A417" s="1768">
        <v>417</v>
      </c>
      <c r="B417" s="1768" t="s">
        <v>2374</v>
      </c>
      <c r="C417" s="1768" t="s">
        <v>2352</v>
      </c>
      <c r="D417" s="1768" t="s">
        <v>1824</v>
      </c>
      <c r="E417" s="1768" t="s">
        <v>888</v>
      </c>
      <c r="F417" s="1768" t="s">
        <v>1237</v>
      </c>
      <c r="G417" s="1768" t="s">
        <v>1237</v>
      </c>
      <c r="H417" s="1768" t="s">
        <v>1237</v>
      </c>
      <c r="I417" s="1768" t="s">
        <v>1237</v>
      </c>
      <c r="J417" s="1768" t="s">
        <v>2353</v>
      </c>
      <c r="K417" s="1769">
        <v>44774</v>
      </c>
      <c r="L417" s="1768">
        <v>0</v>
      </c>
      <c r="M417" s="1768">
        <v>0</v>
      </c>
      <c r="N417" s="1768">
        <v>2.7879999999999998</v>
      </c>
      <c r="O417" s="1768">
        <v>2.7879999999999998</v>
      </c>
      <c r="P417" s="1768">
        <v>2.7879999999999998</v>
      </c>
      <c r="Q417" s="1768">
        <v>2.7879999999999998</v>
      </c>
      <c r="R417" s="1768"/>
      <c r="S417" s="1768">
        <v>415.98</v>
      </c>
      <c r="T417" s="1768">
        <v>215.17</v>
      </c>
      <c r="U417" s="1768"/>
      <c r="V417" s="1768">
        <v>1759.6461999999999</v>
      </c>
      <c r="W417" s="1768">
        <v>1759.6461999999999</v>
      </c>
      <c r="X417" s="1768">
        <v>1529.3295199999998</v>
      </c>
      <c r="Y417" s="1768">
        <v>0</v>
      </c>
      <c r="Z417" s="1768">
        <v>170.30943548659391</v>
      </c>
      <c r="AA417" s="1768">
        <v>0</v>
      </c>
      <c r="AB417" s="1768">
        <v>0</v>
      </c>
      <c r="AC417" s="1768">
        <v>0</v>
      </c>
      <c r="AD417" s="1768">
        <v>249.0118298054185</v>
      </c>
      <c r="AE417" s="1768">
        <v>704.83565112943654</v>
      </c>
      <c r="AF417" s="1768">
        <v>587.60428198603483</v>
      </c>
      <c r="AG417" s="1768">
        <v>12.286644724715346</v>
      </c>
      <c r="AH417" s="1768">
        <v>0</v>
      </c>
      <c r="AI417" s="1768">
        <v>0</v>
      </c>
      <c r="AJ417" s="1768">
        <v>0</v>
      </c>
      <c r="AK417" s="1768">
        <v>0</v>
      </c>
      <c r="AL417" s="1768">
        <v>26.317176444404211</v>
      </c>
      <c r="AM417" s="1768"/>
      <c r="AN417" s="1768">
        <v>3.2825841710070631</v>
      </c>
      <c r="AO417" s="1768">
        <v>0</v>
      </c>
      <c r="AP417" s="1768">
        <v>0</v>
      </c>
      <c r="AQ417" s="1768">
        <v>0</v>
      </c>
      <c r="AR417" s="1768">
        <v>0</v>
      </c>
      <c r="AS417" s="1768">
        <v>0</v>
      </c>
      <c r="AT417" s="1768">
        <v>0</v>
      </c>
      <c r="AU417" s="1768">
        <v>0</v>
      </c>
      <c r="AV417" s="1768">
        <v>0</v>
      </c>
      <c r="AW417" s="1768">
        <v>0</v>
      </c>
      <c r="AX417" s="1768">
        <v>0</v>
      </c>
      <c r="AY417" s="1768">
        <v>0</v>
      </c>
      <c r="AZ417" s="1768">
        <v>0</v>
      </c>
      <c r="BA417" s="1768"/>
      <c r="BB417" s="1768">
        <v>0</v>
      </c>
      <c r="BC417" s="1768">
        <v>0</v>
      </c>
      <c r="BD417" s="1768">
        <v>0</v>
      </c>
      <c r="BE417" s="1768">
        <v>0</v>
      </c>
      <c r="BF417" s="1768">
        <v>0</v>
      </c>
      <c r="BG417" s="1768">
        <v>5.9995935065066153</v>
      </c>
      <c r="BH417" s="1768">
        <v>0</v>
      </c>
      <c r="BI417" s="1768">
        <v>0</v>
      </c>
      <c r="BJ417" s="1768">
        <v>0</v>
      </c>
      <c r="BK417" s="1768">
        <v>858.72</v>
      </c>
      <c r="BL417" s="1768">
        <v>3</v>
      </c>
      <c r="BM417" s="1768"/>
      <c r="BN417" s="1768"/>
      <c r="BO417" s="1768"/>
      <c r="BP417" s="1768"/>
      <c r="BQ417" s="1768"/>
      <c r="BR417" s="1768"/>
      <c r="BS417" s="1768"/>
      <c r="BT417" s="1768"/>
      <c r="BU417" s="1768"/>
      <c r="BV417" s="1768">
        <v>593.60387549254142</v>
      </c>
      <c r="BW417" s="1768"/>
      <c r="BX417" s="1768"/>
      <c r="BY417" s="1768"/>
      <c r="BZ417" s="1768"/>
      <c r="CA417" s="1768"/>
      <c r="CB417" s="1768"/>
      <c r="CC417" s="1768"/>
      <c r="CD417" s="1768"/>
      <c r="CE417" s="1768"/>
      <c r="CF417" s="1768"/>
      <c r="CG417" s="1768"/>
      <c r="CH417" s="1768"/>
      <c r="CI417" s="1768">
        <v>1530.4265999999998</v>
      </c>
      <c r="CJ417" s="1768">
        <v>-229.2496000000001</v>
      </c>
      <c r="CK417" s="1768"/>
      <c r="CL417" s="1768"/>
      <c r="CM417" s="1768"/>
      <c r="CN417" s="1768"/>
      <c r="CO417" s="1768">
        <v>-306.09452000000005</v>
      </c>
      <c r="CP417" s="1768">
        <v>75.777840000000012</v>
      </c>
      <c r="CQ417" s="1768">
        <v>31</v>
      </c>
      <c r="CR417" s="1768">
        <v>78.939135733422745</v>
      </c>
      <c r="CS417" s="1768">
        <v>0</v>
      </c>
      <c r="CT417" s="1768">
        <v>0</v>
      </c>
      <c r="CU417" s="1768">
        <v>0</v>
      </c>
      <c r="CV417" s="1768">
        <v>0</v>
      </c>
      <c r="CW417" s="1768">
        <v>0</v>
      </c>
      <c r="CX417" s="1768">
        <v>0</v>
      </c>
      <c r="CY417" s="1768">
        <v>0</v>
      </c>
      <c r="CZ417" s="1768">
        <v>10.364415697651197</v>
      </c>
      <c r="DA417" s="1768">
        <v>0</v>
      </c>
      <c r="DB417" s="1768">
        <v>0</v>
      </c>
      <c r="DC417" s="1768">
        <v>75.776404400689671</v>
      </c>
      <c r="DD417" s="1768">
        <v>0</v>
      </c>
      <c r="DE417" s="1768">
        <v>0</v>
      </c>
      <c r="DF417" s="1768">
        <v>0</v>
      </c>
      <c r="DG417" s="1768">
        <v>0.77369692108474197</v>
      </c>
      <c r="DH417" s="1768">
        <v>0</v>
      </c>
      <c r="DI417" s="1768">
        <v>-6.9246108915133959</v>
      </c>
      <c r="DJ417" s="1768"/>
      <c r="DK417" s="1768">
        <v>0</v>
      </c>
      <c r="DL417" s="1768">
        <v>0</v>
      </c>
      <c r="DM417" s="1768">
        <v>0</v>
      </c>
      <c r="DN417" s="1768">
        <v>0</v>
      </c>
      <c r="DO417" s="1768">
        <v>-0.83676879849535624</v>
      </c>
      <c r="DP417" s="1768">
        <v>-0.21400159599415458</v>
      </c>
      <c r="DQ417" s="1768">
        <v>0</v>
      </c>
      <c r="DR417" s="1768">
        <v>0</v>
      </c>
      <c r="DS417" s="1768"/>
      <c r="DT417" s="1768"/>
      <c r="DU417" s="1768"/>
      <c r="DV417" s="1768">
        <v>704.83565112943654</v>
      </c>
      <c r="DW417" s="1768">
        <v>0</v>
      </c>
      <c r="DX417" s="1768">
        <v>0</v>
      </c>
      <c r="DY417" s="1768">
        <v>-306.0945200000001</v>
      </c>
      <c r="DZ417" s="1768">
        <v>75.777840000000083</v>
      </c>
      <c r="EA417" s="1768">
        <v>0</v>
      </c>
      <c r="EB417" s="1768">
        <v>0</v>
      </c>
      <c r="EC417" s="1768">
        <v>-309.26236427646143</v>
      </c>
      <c r="ED417" s="1768">
        <v>0</v>
      </c>
      <c r="EE417" s="1768">
        <v>0</v>
      </c>
      <c r="EF417" s="1768">
        <v>0</v>
      </c>
      <c r="EG417" s="1768">
        <v>0</v>
      </c>
      <c r="EH417" s="1768">
        <v>0</v>
      </c>
      <c r="EI417" s="1768">
        <v>0</v>
      </c>
      <c r="EJ417" s="1768">
        <v>0</v>
      </c>
      <c r="EK417" s="1768">
        <v>0</v>
      </c>
      <c r="EL417" s="1768">
        <v>0</v>
      </c>
      <c r="EM417" s="1768">
        <v>0</v>
      </c>
      <c r="EN417" s="1768">
        <v>0</v>
      </c>
      <c r="EO417" s="1768">
        <v>0</v>
      </c>
      <c r="EP417" s="1768">
        <v>0</v>
      </c>
      <c r="EQ417" s="1768">
        <v>0</v>
      </c>
      <c r="ER417" s="1768">
        <v>0</v>
      </c>
      <c r="ES417" s="1768">
        <v>0</v>
      </c>
      <c r="ET417" s="1768">
        <v>0</v>
      </c>
      <c r="EU417" s="1768">
        <v>0</v>
      </c>
      <c r="EV417" s="1768">
        <v>216</v>
      </c>
      <c r="EW417" s="1768">
        <v>0</v>
      </c>
      <c r="EX417" s="1768">
        <v>0</v>
      </c>
      <c r="EY417" s="1768">
        <v>0</v>
      </c>
      <c r="EZ417" s="1768"/>
      <c r="FA417" s="1768">
        <v>0</v>
      </c>
      <c r="FB417" s="1768"/>
      <c r="FC417" s="1768"/>
      <c r="FD417" s="1768"/>
      <c r="FE417" s="1768"/>
      <c r="FF417" s="1768">
        <v>0</v>
      </c>
      <c r="FG417" s="1768">
        <v>0</v>
      </c>
      <c r="FH417" s="1768">
        <v>0</v>
      </c>
      <c r="FI417" s="1768">
        <v>0</v>
      </c>
    </row>
    <row r="418" spans="1:165">
      <c r="A418" s="1768">
        <v>418</v>
      </c>
      <c r="B418" s="1768" t="s">
        <v>2374</v>
      </c>
      <c r="C418" s="1768" t="s">
        <v>2360</v>
      </c>
      <c r="D418" s="1768" t="s">
        <v>533</v>
      </c>
      <c r="E418" s="1768" t="s">
        <v>888</v>
      </c>
      <c r="F418" s="1768" t="s">
        <v>1237</v>
      </c>
      <c r="G418" s="1768" t="s">
        <v>1237</v>
      </c>
      <c r="H418" s="1768" t="s">
        <v>1237</v>
      </c>
      <c r="I418" s="1768" t="s">
        <v>891</v>
      </c>
      <c r="J418" s="1768" t="s">
        <v>2353</v>
      </c>
      <c r="K418" s="1769">
        <v>44774</v>
      </c>
      <c r="L418" s="1768">
        <v>0</v>
      </c>
      <c r="M418" s="1768">
        <v>0</v>
      </c>
      <c r="N418" s="1768">
        <v>114.94499999999999</v>
      </c>
      <c r="O418" s="1768">
        <v>114.94499999999999</v>
      </c>
      <c r="P418" s="1768">
        <v>114.94499999999999</v>
      </c>
      <c r="Q418" s="1768">
        <v>114.94499999999999</v>
      </c>
      <c r="R418" s="1768"/>
      <c r="S418" s="1768">
        <v>2184.0300000000002</v>
      </c>
      <c r="T418" s="1768">
        <v>215.17</v>
      </c>
      <c r="U418" s="1768"/>
      <c r="V418" s="1768">
        <v>275776.04399999999</v>
      </c>
      <c r="W418" s="1768">
        <v>275776.04399999999</v>
      </c>
      <c r="X418" s="1768">
        <v>208095.27854999999</v>
      </c>
      <c r="Y418" s="1768">
        <v>0</v>
      </c>
      <c r="Z418" s="1768">
        <v>6108.7911456046149</v>
      </c>
      <c r="AA418" s="1768">
        <v>0</v>
      </c>
      <c r="AB418" s="1768">
        <v>0</v>
      </c>
      <c r="AC418" s="1768">
        <v>0</v>
      </c>
      <c r="AD418" s="1768">
        <v>75748.095922972905</v>
      </c>
      <c r="AE418" s="1768">
        <v>167926.37770506501</v>
      </c>
      <c r="AF418" s="1768">
        <v>24226.03091566886</v>
      </c>
      <c r="AG418" s="1768">
        <v>506.55967642840943</v>
      </c>
      <c r="AH418" s="1768">
        <v>0</v>
      </c>
      <c r="AI418" s="1768">
        <v>0</v>
      </c>
      <c r="AJ418" s="1768">
        <v>0</v>
      </c>
      <c r="AK418" s="1768">
        <v>0</v>
      </c>
      <c r="AL418" s="1768">
        <v>1085.0171615502302</v>
      </c>
      <c r="AM418" s="1768"/>
      <c r="AN418" s="1768">
        <v>79.297411308269957</v>
      </c>
      <c r="AO418" s="1768">
        <v>0</v>
      </c>
      <c r="AP418" s="1768">
        <v>0</v>
      </c>
      <c r="AQ418" s="1768">
        <v>0</v>
      </c>
      <c r="AR418" s="1768">
        <v>0</v>
      </c>
      <c r="AS418" s="1768">
        <v>0</v>
      </c>
      <c r="AT418" s="1768">
        <v>0</v>
      </c>
      <c r="AU418" s="1768">
        <v>0</v>
      </c>
      <c r="AV418" s="1768">
        <v>0</v>
      </c>
      <c r="AW418" s="1768">
        <v>0</v>
      </c>
      <c r="AX418" s="1768">
        <v>0</v>
      </c>
      <c r="AY418" s="1768">
        <v>0</v>
      </c>
      <c r="AZ418" s="1768">
        <v>0</v>
      </c>
      <c r="BA418" s="1768"/>
      <c r="BB418" s="1768">
        <v>0</v>
      </c>
      <c r="BC418" s="1768">
        <v>0</v>
      </c>
      <c r="BD418" s="1768">
        <v>0</v>
      </c>
      <c r="BE418" s="1768">
        <v>0</v>
      </c>
      <c r="BF418" s="1768">
        <v>0</v>
      </c>
      <c r="BG418" s="1768">
        <v>95.502177308285809</v>
      </c>
      <c r="BH418" s="1768">
        <v>0</v>
      </c>
      <c r="BI418" s="1768">
        <v>0</v>
      </c>
      <c r="BJ418" s="1768">
        <v>0</v>
      </c>
      <c r="BK418" s="1768">
        <v>0</v>
      </c>
      <c r="BL418" s="1768">
        <v>0</v>
      </c>
      <c r="BM418" s="1768"/>
      <c r="BN418" s="1768"/>
      <c r="BO418" s="1768"/>
      <c r="BP418" s="1768"/>
      <c r="BQ418" s="1768"/>
      <c r="BR418" s="1768"/>
      <c r="BS418" s="1768"/>
      <c r="BT418" s="1768"/>
      <c r="BU418" s="1768"/>
      <c r="BV418" s="1768">
        <v>24321.533092977144</v>
      </c>
      <c r="BW418" s="1768"/>
      <c r="BX418" s="1768"/>
      <c r="BY418" s="1768"/>
      <c r="BZ418" s="1768"/>
      <c r="CA418" s="1768"/>
      <c r="CB418" s="1768"/>
      <c r="CC418" s="1768"/>
      <c r="CD418" s="1768"/>
      <c r="CE418" s="1768"/>
      <c r="CF418" s="1768"/>
      <c r="CG418" s="1768"/>
      <c r="CH418" s="1768"/>
      <c r="CI418" s="1768">
        <v>208104.33050000001</v>
      </c>
      <c r="CJ418" s="1768">
        <v>-67671.743500000011</v>
      </c>
      <c r="CK418" s="1768"/>
      <c r="CL418" s="1768"/>
      <c r="CM418" s="1768"/>
      <c r="CN418" s="1768"/>
      <c r="CO418" s="1768">
        <v>-70804.970550000027</v>
      </c>
      <c r="CP418" s="1768">
        <v>3124.2051000000006</v>
      </c>
      <c r="CQ418" s="1768">
        <v>31</v>
      </c>
      <c r="CR418" s="1768">
        <v>6001.2170710000646</v>
      </c>
      <c r="CS418" s="1768">
        <v>0</v>
      </c>
      <c r="CT418" s="1768">
        <v>0</v>
      </c>
      <c r="CU418" s="1768">
        <v>0</v>
      </c>
      <c r="CV418" s="1768">
        <v>0</v>
      </c>
      <c r="CW418" s="1768">
        <v>0</v>
      </c>
      <c r="CX418" s="1768">
        <v>0</v>
      </c>
      <c r="CY418" s="1768">
        <v>0</v>
      </c>
      <c r="CZ418" s="1768">
        <v>3152.8010338493623</v>
      </c>
      <c r="DA418" s="1768">
        <v>0</v>
      </c>
      <c r="DB418" s="1768">
        <v>0</v>
      </c>
      <c r="DC418" s="1768">
        <v>3124.1459124236972</v>
      </c>
      <c r="DD418" s="1768">
        <v>0</v>
      </c>
      <c r="DE418" s="1768">
        <v>0</v>
      </c>
      <c r="DF418" s="1768">
        <v>0</v>
      </c>
      <c r="DG418" s="1768">
        <v>12.315791138212376</v>
      </c>
      <c r="DH418" s="1768">
        <v>0</v>
      </c>
      <c r="DI418" s="1768">
        <v>-248.37732319394945</v>
      </c>
      <c r="DJ418" s="1768"/>
      <c r="DK418" s="1768">
        <v>0</v>
      </c>
      <c r="DL418" s="1768">
        <v>0</v>
      </c>
      <c r="DM418" s="1768">
        <v>0</v>
      </c>
      <c r="DN418" s="1768">
        <v>0</v>
      </c>
      <c r="DO418" s="1768">
        <v>-34.498705001093413</v>
      </c>
      <c r="DP418" s="1768">
        <v>-5.169638216152606</v>
      </c>
      <c r="DQ418" s="1768">
        <v>0</v>
      </c>
      <c r="DR418" s="1768">
        <v>0</v>
      </c>
      <c r="DS418" s="1768"/>
      <c r="DT418" s="1768"/>
      <c r="DU418" s="1768"/>
      <c r="DV418" s="1768">
        <v>167926.37770506501</v>
      </c>
      <c r="DW418" s="1768">
        <v>0</v>
      </c>
      <c r="DX418" s="1768">
        <v>0</v>
      </c>
      <c r="DY418" s="1768">
        <v>-70804.970549999998</v>
      </c>
      <c r="DZ418" s="1768">
        <v>3124.2050999999992</v>
      </c>
      <c r="EA418" s="1768">
        <v>0</v>
      </c>
      <c r="EB418" s="1768">
        <v>0</v>
      </c>
      <c r="EC418" s="1768">
        <v>-73681.444050442005</v>
      </c>
      <c r="ED418" s="1768">
        <v>0</v>
      </c>
      <c r="EE418" s="1768">
        <v>0</v>
      </c>
      <c r="EF418" s="1768">
        <v>0</v>
      </c>
      <c r="EG418" s="1768">
        <v>0</v>
      </c>
      <c r="EH418" s="1768">
        <v>0</v>
      </c>
      <c r="EI418" s="1768">
        <v>0</v>
      </c>
      <c r="EJ418" s="1768">
        <v>0</v>
      </c>
      <c r="EK418" s="1768">
        <v>0</v>
      </c>
      <c r="EL418" s="1768">
        <v>0</v>
      </c>
      <c r="EM418" s="1768">
        <v>0</v>
      </c>
      <c r="EN418" s="1768">
        <v>0</v>
      </c>
      <c r="EO418" s="1768">
        <v>0</v>
      </c>
      <c r="EP418" s="1768">
        <v>0</v>
      </c>
      <c r="EQ418" s="1768">
        <v>0</v>
      </c>
      <c r="ER418" s="1768">
        <v>0</v>
      </c>
      <c r="ES418" s="1768">
        <v>0</v>
      </c>
      <c r="ET418" s="1768">
        <v>0</v>
      </c>
      <c r="EU418" s="1768">
        <v>0</v>
      </c>
      <c r="EV418" s="1768">
        <v>216</v>
      </c>
      <c r="EW418" s="1768">
        <v>0</v>
      </c>
      <c r="EX418" s="1768">
        <v>0</v>
      </c>
      <c r="EY418" s="1768">
        <v>0</v>
      </c>
      <c r="EZ418" s="1768"/>
      <c r="FA418" s="1768">
        <v>0</v>
      </c>
      <c r="FB418" s="1768"/>
      <c r="FC418" s="1768"/>
      <c r="FD418" s="1768"/>
      <c r="FE418" s="1768"/>
      <c r="FF418" s="1768">
        <v>0</v>
      </c>
      <c r="FG418" s="1768">
        <v>0</v>
      </c>
      <c r="FH418" s="1768">
        <v>0</v>
      </c>
      <c r="FI418" s="1768">
        <v>0</v>
      </c>
    </row>
    <row r="419" spans="1:165">
      <c r="A419" s="1768">
        <v>419</v>
      </c>
      <c r="B419" s="1768" t="s">
        <v>2374</v>
      </c>
      <c r="C419" s="1768" t="s">
        <v>2360</v>
      </c>
      <c r="D419" s="1768" t="s">
        <v>533</v>
      </c>
      <c r="E419" s="1768" t="s">
        <v>888</v>
      </c>
      <c r="F419" s="1768" t="s">
        <v>1237</v>
      </c>
      <c r="G419" s="1768" t="s">
        <v>1237</v>
      </c>
      <c r="H419" s="1768" t="s">
        <v>1237</v>
      </c>
      <c r="I419" s="1768" t="s">
        <v>2327</v>
      </c>
      <c r="J419" s="1768" t="s">
        <v>2353</v>
      </c>
      <c r="K419" s="1769">
        <v>44774</v>
      </c>
      <c r="L419" s="1768">
        <v>0</v>
      </c>
      <c r="M419" s="1768">
        <v>0</v>
      </c>
      <c r="N419" s="1768">
        <v>1986.702</v>
      </c>
      <c r="O419" s="1768">
        <v>1986.702</v>
      </c>
      <c r="P419" s="1768">
        <v>1986.702</v>
      </c>
      <c r="Q419" s="1768">
        <v>1986.702</v>
      </c>
      <c r="R419" s="1768"/>
      <c r="S419" s="1768">
        <v>64.11</v>
      </c>
      <c r="T419" s="1768">
        <v>215.17</v>
      </c>
      <c r="U419" s="1768"/>
      <c r="V419" s="1768">
        <v>554846.13455999992</v>
      </c>
      <c r="W419" s="1768">
        <v>554846.13455999992</v>
      </c>
      <c r="X419" s="1768">
        <v>604076.61011999997</v>
      </c>
      <c r="Y419" s="1768">
        <v>0</v>
      </c>
      <c r="Z419" s="1768">
        <v>105583.95394801845</v>
      </c>
      <c r="AA419" s="1768">
        <v>0</v>
      </c>
      <c r="AB419" s="1768">
        <v>0</v>
      </c>
      <c r="AC419" s="1768">
        <v>0</v>
      </c>
      <c r="AD419" s="1768">
        <v>0</v>
      </c>
      <c r="AE419" s="1768">
        <v>0</v>
      </c>
      <c r="AF419" s="1768">
        <v>418721.16292332119</v>
      </c>
      <c r="AG419" s="1768">
        <v>8755.3449239172987</v>
      </c>
      <c r="AH419" s="1768">
        <v>0</v>
      </c>
      <c r="AI419" s="1768">
        <v>0</v>
      </c>
      <c r="AJ419" s="1768">
        <v>0</v>
      </c>
      <c r="AK419" s="1768">
        <v>0</v>
      </c>
      <c r="AL419" s="1768">
        <v>18753.366957120063</v>
      </c>
      <c r="AM419" s="1768"/>
      <c r="AN419" s="1768">
        <v>1370.5713657920096</v>
      </c>
      <c r="AO419" s="1768">
        <v>0</v>
      </c>
      <c r="AP419" s="1768">
        <v>0</v>
      </c>
      <c r="AQ419" s="1768">
        <v>0</v>
      </c>
      <c r="AR419" s="1768">
        <v>0</v>
      </c>
      <c r="AS419" s="1768">
        <v>0</v>
      </c>
      <c r="AT419" s="1768">
        <v>0</v>
      </c>
      <c r="AU419" s="1768">
        <v>0</v>
      </c>
      <c r="AV419" s="1768">
        <v>0</v>
      </c>
      <c r="AW419" s="1768">
        <v>0</v>
      </c>
      <c r="AX419" s="1768">
        <v>0</v>
      </c>
      <c r="AY419" s="1768">
        <v>0</v>
      </c>
      <c r="AZ419" s="1768">
        <v>0</v>
      </c>
      <c r="BA419" s="1768"/>
      <c r="BB419" s="1768">
        <v>0</v>
      </c>
      <c r="BC419" s="1768">
        <v>0</v>
      </c>
      <c r="BD419" s="1768">
        <v>0</v>
      </c>
      <c r="BE419" s="1768">
        <v>0</v>
      </c>
      <c r="BF419" s="1768">
        <v>0</v>
      </c>
      <c r="BG419" s="1768">
        <v>1650.653500915447</v>
      </c>
      <c r="BH419" s="1768">
        <v>0</v>
      </c>
      <c r="BI419" s="1768">
        <v>0</v>
      </c>
      <c r="BJ419" s="1768">
        <v>0</v>
      </c>
      <c r="BK419" s="1768">
        <v>0</v>
      </c>
      <c r="BL419" s="1768">
        <v>0</v>
      </c>
      <c r="BM419" s="1768"/>
      <c r="BN419" s="1768"/>
      <c r="BO419" s="1768"/>
      <c r="BP419" s="1768"/>
      <c r="BQ419" s="1768"/>
      <c r="BR419" s="1768"/>
      <c r="BS419" s="1768"/>
      <c r="BT419" s="1768"/>
      <c r="BU419" s="1768"/>
      <c r="BV419" s="1768">
        <v>420371.81642423663</v>
      </c>
      <c r="BW419" s="1768"/>
      <c r="BX419" s="1768"/>
      <c r="BY419" s="1768"/>
      <c r="BZ419" s="1768"/>
      <c r="CA419" s="1768"/>
      <c r="CB419" s="1768"/>
      <c r="CC419" s="1768"/>
      <c r="CD419" s="1768"/>
      <c r="CE419" s="1768"/>
      <c r="CF419" s="1768"/>
      <c r="CG419" s="1768"/>
      <c r="CH419" s="1768"/>
      <c r="CI419" s="1768">
        <v>604076.00199999998</v>
      </c>
      <c r="CJ419" s="1768">
        <v>49229.837440000032</v>
      </c>
      <c r="CK419" s="1768"/>
      <c r="CL419" s="1768"/>
      <c r="CM419" s="1768"/>
      <c r="CN419" s="1768"/>
      <c r="CO419" s="1768">
        <v>-4768.0847999999969</v>
      </c>
      <c r="CP419" s="1768">
        <v>53998.56036000001</v>
      </c>
      <c r="CQ419" s="1768">
        <v>31</v>
      </c>
      <c r="CR419" s="1768">
        <v>49231.839904644992</v>
      </c>
      <c r="CS419" s="1768">
        <v>0</v>
      </c>
      <c r="CT419" s="1768">
        <v>0</v>
      </c>
      <c r="CU419" s="1768">
        <v>0</v>
      </c>
      <c r="CV419" s="1768">
        <v>0</v>
      </c>
      <c r="CW419" s="1768">
        <v>0</v>
      </c>
      <c r="CX419" s="1768">
        <v>0</v>
      </c>
      <c r="CY419" s="1768">
        <v>0</v>
      </c>
      <c r="CZ419" s="1768">
        <v>0</v>
      </c>
      <c r="DA419" s="1768">
        <v>0</v>
      </c>
      <c r="DB419" s="1768">
        <v>0</v>
      </c>
      <c r="DC419" s="1768">
        <v>53997.537365731376</v>
      </c>
      <c r="DD419" s="1768">
        <v>0</v>
      </c>
      <c r="DE419" s="1768">
        <v>0</v>
      </c>
      <c r="DF419" s="1768">
        <v>0</v>
      </c>
      <c r="DG419" s="1768">
        <v>212.86534330217751</v>
      </c>
      <c r="DH419" s="1768">
        <v>0</v>
      </c>
      <c r="DI419" s="1768">
        <v>-4292.9377071126655</v>
      </c>
      <c r="DJ419" s="1768"/>
      <c r="DK419" s="1768">
        <v>0</v>
      </c>
      <c r="DL419" s="1768">
        <v>0</v>
      </c>
      <c r="DM419" s="1768">
        <v>0</v>
      </c>
      <c r="DN419" s="1768">
        <v>0</v>
      </c>
      <c r="DO419" s="1768">
        <v>-596.27340226266824</v>
      </c>
      <c r="DP419" s="1768">
        <v>-89.351695013326662</v>
      </c>
      <c r="DQ419" s="1768">
        <v>0</v>
      </c>
      <c r="DR419" s="1768">
        <v>0</v>
      </c>
      <c r="DS419" s="1768"/>
      <c r="DT419" s="1768"/>
      <c r="DU419" s="1768"/>
      <c r="DV419" s="1768">
        <v>0</v>
      </c>
      <c r="DW419" s="1768">
        <v>0</v>
      </c>
      <c r="DX419" s="1768">
        <v>0</v>
      </c>
      <c r="DY419" s="1768">
        <v>-4768.0847999999969</v>
      </c>
      <c r="DZ419" s="1768">
        <v>53998.560360000003</v>
      </c>
      <c r="EA419" s="1768">
        <v>0</v>
      </c>
      <c r="EB419" s="1768">
        <v>0</v>
      </c>
      <c r="EC419" s="1768">
        <v>0</v>
      </c>
      <c r="ED419" s="1768">
        <v>0</v>
      </c>
      <c r="EE419" s="1768">
        <v>0</v>
      </c>
      <c r="EF419" s="1768">
        <v>0</v>
      </c>
      <c r="EG419" s="1768">
        <v>0</v>
      </c>
      <c r="EH419" s="1768">
        <v>0</v>
      </c>
      <c r="EI419" s="1768">
        <v>0</v>
      </c>
      <c r="EJ419" s="1768">
        <v>0</v>
      </c>
      <c r="EK419" s="1768">
        <v>0</v>
      </c>
      <c r="EL419" s="1768">
        <v>0</v>
      </c>
      <c r="EM419" s="1768">
        <v>0</v>
      </c>
      <c r="EN419" s="1768">
        <v>0</v>
      </c>
      <c r="EO419" s="1768">
        <v>0</v>
      </c>
      <c r="EP419" s="1768">
        <v>0</v>
      </c>
      <c r="EQ419" s="1768">
        <v>0</v>
      </c>
      <c r="ER419" s="1768">
        <v>0</v>
      </c>
      <c r="ES419" s="1768">
        <v>0</v>
      </c>
      <c r="ET419" s="1768">
        <v>0</v>
      </c>
      <c r="EU419" s="1768">
        <v>0</v>
      </c>
      <c r="EV419" s="1768">
        <v>216</v>
      </c>
      <c r="EW419" s="1768">
        <v>0</v>
      </c>
      <c r="EX419" s="1768">
        <v>0</v>
      </c>
      <c r="EY419" s="1768">
        <v>0</v>
      </c>
      <c r="EZ419" s="1768"/>
      <c r="FA419" s="1768">
        <v>0</v>
      </c>
      <c r="FB419" s="1768"/>
      <c r="FC419" s="1768"/>
      <c r="FD419" s="1768"/>
      <c r="FE419" s="1768"/>
      <c r="FF419" s="1768">
        <v>0</v>
      </c>
      <c r="FG419" s="1768">
        <v>0</v>
      </c>
      <c r="FH419" s="1768">
        <v>0</v>
      </c>
      <c r="FI419" s="1768">
        <v>0</v>
      </c>
    </row>
    <row r="420" spans="1:165">
      <c r="A420" s="1768">
        <v>420</v>
      </c>
      <c r="B420" s="1768" t="s">
        <v>2374</v>
      </c>
      <c r="C420" s="1768" t="s">
        <v>2360</v>
      </c>
      <c r="D420" s="1768" t="s">
        <v>533</v>
      </c>
      <c r="E420" s="1768" t="s">
        <v>888</v>
      </c>
      <c r="F420" s="1768" t="s">
        <v>1237</v>
      </c>
      <c r="G420" s="1768" t="s">
        <v>1237</v>
      </c>
      <c r="H420" s="1768" t="s">
        <v>1237</v>
      </c>
      <c r="I420" s="1768" t="s">
        <v>1237</v>
      </c>
      <c r="J420" s="1768" t="s">
        <v>2353</v>
      </c>
      <c r="K420" s="1769">
        <v>44774</v>
      </c>
      <c r="L420" s="1768">
        <v>6303</v>
      </c>
      <c r="M420" s="1768">
        <v>6303</v>
      </c>
      <c r="N420" s="1768">
        <v>0</v>
      </c>
      <c r="O420" s="1768">
        <v>0</v>
      </c>
      <c r="P420" s="1768">
        <v>0</v>
      </c>
      <c r="Q420" s="1768">
        <v>0</v>
      </c>
      <c r="R420" s="1768">
        <v>28.04</v>
      </c>
      <c r="S420" s="1768"/>
      <c r="T420" s="1768"/>
      <c r="U420" s="1768">
        <v>176736.12</v>
      </c>
      <c r="V420" s="1768"/>
      <c r="W420" s="1768">
        <v>176736.12</v>
      </c>
      <c r="X420" s="1768">
        <v>132741.18</v>
      </c>
      <c r="Y420" s="1768">
        <v>0</v>
      </c>
      <c r="Z420" s="1768">
        <v>0</v>
      </c>
      <c r="AA420" s="1768">
        <v>0</v>
      </c>
      <c r="AB420" s="1768">
        <v>0</v>
      </c>
      <c r="AC420" s="1768">
        <v>0</v>
      </c>
      <c r="AD420" s="1768">
        <v>69778.479617560602</v>
      </c>
      <c r="AE420" s="1768">
        <v>106989.01227150518</v>
      </c>
      <c r="AF420" s="1768"/>
      <c r="AG420" s="1768"/>
      <c r="AH420" s="1768"/>
      <c r="AI420" s="1768">
        <v>0</v>
      </c>
      <c r="AJ420" s="1768">
        <v>0</v>
      </c>
      <c r="AK420" s="1768">
        <v>0</v>
      </c>
      <c r="AL420" s="1768">
        <v>0</v>
      </c>
      <c r="AM420" s="1768"/>
      <c r="AN420" s="1768">
        <v>0</v>
      </c>
      <c r="AO420" s="1768">
        <v>0</v>
      </c>
      <c r="AP420" s="1768">
        <v>0</v>
      </c>
      <c r="AQ420" s="1768">
        <v>0</v>
      </c>
      <c r="AR420" s="1768">
        <v>0</v>
      </c>
      <c r="AS420" s="1768"/>
      <c r="AT420" s="1768"/>
      <c r="AU420" s="1768">
        <v>0</v>
      </c>
      <c r="AV420" s="1768">
        <v>0</v>
      </c>
      <c r="AW420" s="1768">
        <v>0</v>
      </c>
      <c r="AX420" s="1768"/>
      <c r="AY420" s="1768"/>
      <c r="AZ420" s="1768">
        <v>0</v>
      </c>
      <c r="BA420" s="1768"/>
      <c r="BB420" s="1768">
        <v>0</v>
      </c>
      <c r="BC420" s="1768">
        <v>0</v>
      </c>
      <c r="BD420" s="1768">
        <v>0</v>
      </c>
      <c r="BE420" s="1768">
        <v>0</v>
      </c>
      <c r="BF420" s="1768"/>
      <c r="BG420" s="1768">
        <v>0</v>
      </c>
      <c r="BH420" s="1768">
        <v>0</v>
      </c>
      <c r="BI420" s="1768">
        <v>0</v>
      </c>
      <c r="BJ420" s="1768">
        <v>0</v>
      </c>
      <c r="BK420" s="1768">
        <v>178001.8</v>
      </c>
      <c r="BL420" s="1768">
        <v>16</v>
      </c>
      <c r="BM420" s="1768"/>
      <c r="BN420" s="1768"/>
      <c r="BO420" s="1768"/>
      <c r="BP420" s="1768"/>
      <c r="BQ420" s="1768"/>
      <c r="BR420" s="1768"/>
      <c r="BS420" s="1768"/>
      <c r="BT420" s="1768"/>
      <c r="BU420" s="1768"/>
      <c r="BV420" s="1768">
        <v>0</v>
      </c>
      <c r="BW420" s="1768"/>
      <c r="BX420" s="1768"/>
      <c r="BY420" s="1768"/>
      <c r="BZ420" s="1768"/>
      <c r="CA420" s="1768"/>
      <c r="CB420" s="1768"/>
      <c r="CC420" s="1768"/>
      <c r="CD420" s="1768"/>
      <c r="CE420" s="1768"/>
      <c r="CF420" s="1768"/>
      <c r="CG420" s="1768"/>
      <c r="CH420" s="1768"/>
      <c r="CI420" s="1768">
        <v>132741.18</v>
      </c>
      <c r="CJ420" s="1768">
        <v>-43994.97000000003</v>
      </c>
      <c r="CK420" s="1768"/>
      <c r="CL420" s="1768"/>
      <c r="CM420" s="1768"/>
      <c r="CN420" s="1768"/>
      <c r="CO420" s="1768">
        <v>-43994.94</v>
      </c>
      <c r="CP420" s="1768">
        <v>0</v>
      </c>
      <c r="CQ420" s="1768">
        <v>31</v>
      </c>
      <c r="CR420" s="1768">
        <v>2904.3325775788398</v>
      </c>
      <c r="CS420" s="1768">
        <v>0</v>
      </c>
      <c r="CT420" s="1768">
        <v>0</v>
      </c>
      <c r="CU420" s="1768">
        <v>0</v>
      </c>
      <c r="CV420" s="1768">
        <v>0</v>
      </c>
      <c r="CW420" s="1768"/>
      <c r="CX420" s="1768"/>
      <c r="CY420" s="1768"/>
      <c r="CZ420" s="1768">
        <v>2904.3325775788398</v>
      </c>
      <c r="DA420" s="1768">
        <v>0</v>
      </c>
      <c r="DB420" s="1768">
        <v>0</v>
      </c>
      <c r="DC420" s="1768"/>
      <c r="DD420" s="1768"/>
      <c r="DE420" s="1768">
        <v>0</v>
      </c>
      <c r="DF420" s="1768">
        <v>0</v>
      </c>
      <c r="DG420" s="1768">
        <v>0</v>
      </c>
      <c r="DH420" s="1768">
        <v>0</v>
      </c>
      <c r="DI420" s="1768">
        <v>0</v>
      </c>
      <c r="DJ420" s="1768"/>
      <c r="DK420" s="1768">
        <v>0</v>
      </c>
      <c r="DL420" s="1768">
        <v>0</v>
      </c>
      <c r="DM420" s="1768"/>
      <c r="DN420" s="1768">
        <v>0</v>
      </c>
      <c r="DO420" s="1768">
        <v>0</v>
      </c>
      <c r="DP420" s="1768">
        <v>0</v>
      </c>
      <c r="DQ420" s="1768">
        <v>0</v>
      </c>
      <c r="DR420" s="1768">
        <v>0</v>
      </c>
      <c r="DS420" s="1768"/>
      <c r="DT420" s="1768"/>
      <c r="DU420" s="1768">
        <v>106989.01227150518</v>
      </c>
      <c r="DV420" s="1768"/>
      <c r="DW420" s="1768">
        <v>0</v>
      </c>
      <c r="DX420" s="1768">
        <v>0</v>
      </c>
      <c r="DY420" s="1768">
        <v>-43994.94</v>
      </c>
      <c r="DZ420" s="1768"/>
      <c r="EA420" s="1768">
        <v>0</v>
      </c>
      <c r="EB420" s="1768"/>
      <c r="EC420" s="1768">
        <v>-46943.815673439582</v>
      </c>
      <c r="ED420" s="1768"/>
      <c r="EE420" s="1768">
        <v>0</v>
      </c>
      <c r="EF420" s="1768">
        <v>0</v>
      </c>
      <c r="EG420" s="1768"/>
      <c r="EH420" s="1768">
        <v>0</v>
      </c>
      <c r="EI420" s="1768">
        <v>0</v>
      </c>
      <c r="EJ420" s="1768">
        <v>0</v>
      </c>
      <c r="EK420" s="1768">
        <v>0</v>
      </c>
      <c r="EL420" s="1768">
        <v>0</v>
      </c>
      <c r="EM420" s="1768"/>
      <c r="EN420" s="1768"/>
      <c r="EO420" s="1768">
        <v>0</v>
      </c>
      <c r="EP420" s="1768">
        <v>0</v>
      </c>
      <c r="EQ420" s="1768"/>
      <c r="ER420" s="1768">
        <v>0</v>
      </c>
      <c r="ES420" s="1768"/>
      <c r="ET420" s="1768">
        <v>0</v>
      </c>
      <c r="EU420" s="1768"/>
      <c r="EV420" s="1768">
        <v>216</v>
      </c>
      <c r="EW420" s="1768"/>
      <c r="EX420" s="1768"/>
      <c r="EY420" s="1768"/>
      <c r="EZ420" s="1768"/>
      <c r="FA420" s="1768">
        <v>0</v>
      </c>
      <c r="FB420" s="1768"/>
      <c r="FC420" s="1768"/>
      <c r="FD420" s="1768"/>
      <c r="FE420" s="1768"/>
      <c r="FF420" s="1768">
        <v>0</v>
      </c>
      <c r="FG420" s="1768">
        <v>0</v>
      </c>
      <c r="FH420" s="1768">
        <v>0</v>
      </c>
      <c r="FI420" s="1768">
        <v>0</v>
      </c>
    </row>
    <row r="421" spans="1:165">
      <c r="A421" s="1768">
        <v>421</v>
      </c>
      <c r="B421" s="1768" t="s">
        <v>2374</v>
      </c>
      <c r="C421" s="1768" t="s">
        <v>2360</v>
      </c>
      <c r="D421" s="1768" t="s">
        <v>533</v>
      </c>
      <c r="E421" s="1768" t="s">
        <v>888</v>
      </c>
      <c r="F421" s="1768" t="s">
        <v>1237</v>
      </c>
      <c r="G421" s="1768" t="s">
        <v>1237</v>
      </c>
      <c r="H421" s="1768" t="s">
        <v>1237</v>
      </c>
      <c r="I421" s="1768" t="s">
        <v>1237</v>
      </c>
      <c r="J421" s="1768" t="s">
        <v>2353</v>
      </c>
      <c r="K421" s="1769">
        <v>44774</v>
      </c>
      <c r="L421" s="1768">
        <v>0</v>
      </c>
      <c r="M421" s="1768">
        <v>0</v>
      </c>
      <c r="N421" s="1768">
        <v>0</v>
      </c>
      <c r="O421" s="1768">
        <v>0</v>
      </c>
      <c r="P421" s="1768">
        <v>0</v>
      </c>
      <c r="Q421" s="1768">
        <v>0</v>
      </c>
      <c r="R421" s="1768"/>
      <c r="S421" s="1768"/>
      <c r="T421" s="1768"/>
      <c r="U421" s="1768"/>
      <c r="V421" s="1768"/>
      <c r="W421" s="1768"/>
      <c r="X421" s="1768"/>
      <c r="Y421" s="1768"/>
      <c r="Z421" s="1768"/>
      <c r="AA421" s="1768">
        <v>0</v>
      </c>
      <c r="AB421" s="1768"/>
      <c r="AC421" s="1768"/>
      <c r="AD421" s="1768"/>
      <c r="AE421" s="1768"/>
      <c r="AF421" s="1768"/>
      <c r="AG421" s="1768"/>
      <c r="AH421" s="1768"/>
      <c r="AI421" s="1768"/>
      <c r="AJ421" s="1768"/>
      <c r="AK421" s="1768"/>
      <c r="AL421" s="1768"/>
      <c r="AM421" s="1768"/>
      <c r="AN421" s="1768"/>
      <c r="AO421" s="1768"/>
      <c r="AP421" s="1768"/>
      <c r="AQ421" s="1768"/>
      <c r="AR421" s="1768"/>
      <c r="AS421" s="1768"/>
      <c r="AT421" s="1768"/>
      <c r="AU421" s="1768"/>
      <c r="AV421" s="1768"/>
      <c r="AW421" s="1768"/>
      <c r="AX421" s="1768"/>
      <c r="AY421" s="1768"/>
      <c r="AZ421" s="1768">
        <v>0</v>
      </c>
      <c r="BA421" s="1768"/>
      <c r="BB421" s="1768"/>
      <c r="BC421" s="1768"/>
      <c r="BD421" s="1768"/>
      <c r="BE421" s="1768"/>
      <c r="BF421" s="1768"/>
      <c r="BG421" s="1768"/>
      <c r="BH421" s="1768"/>
      <c r="BI421" s="1768">
        <v>0</v>
      </c>
      <c r="BJ421" s="1768">
        <v>0</v>
      </c>
      <c r="BK421" s="1768">
        <v>0.01</v>
      </c>
      <c r="BL421" s="1768">
        <v>0</v>
      </c>
      <c r="BM421" s="1768"/>
      <c r="BN421" s="1768"/>
      <c r="BO421" s="1768"/>
      <c r="BP421" s="1768"/>
      <c r="BQ421" s="1768"/>
      <c r="BR421" s="1768"/>
      <c r="BS421" s="1768"/>
      <c r="BT421" s="1768"/>
      <c r="BU421" s="1768"/>
      <c r="BV421" s="1768"/>
      <c r="BW421" s="1768"/>
      <c r="BX421" s="1768"/>
      <c r="BY421" s="1768"/>
      <c r="BZ421" s="1768"/>
      <c r="CA421" s="1768"/>
      <c r="CB421" s="1768"/>
      <c r="CC421" s="1768"/>
      <c r="CD421" s="1768"/>
      <c r="CE421" s="1768"/>
      <c r="CF421" s="1768"/>
      <c r="CG421" s="1768"/>
      <c r="CH421" s="1768"/>
      <c r="CI421" s="1768"/>
      <c r="CJ421" s="1768">
        <v>-0.03</v>
      </c>
      <c r="CK421" s="1768"/>
      <c r="CL421" s="1768"/>
      <c r="CM421" s="1768"/>
      <c r="CN421" s="1768"/>
      <c r="CO421" s="1768">
        <v>0</v>
      </c>
      <c r="CP421" s="1768">
        <v>0</v>
      </c>
      <c r="CQ421" s="1768">
        <v>31</v>
      </c>
      <c r="CR421" s="1768"/>
      <c r="CS421" s="1768"/>
      <c r="CT421" s="1768"/>
      <c r="CU421" s="1768"/>
      <c r="CV421" s="1768"/>
      <c r="CW421" s="1768"/>
      <c r="CX421" s="1768"/>
      <c r="CY421" s="1768"/>
      <c r="CZ421" s="1768"/>
      <c r="DA421" s="1768"/>
      <c r="DB421" s="1768"/>
      <c r="DC421" s="1768"/>
      <c r="DD421" s="1768"/>
      <c r="DE421" s="1768"/>
      <c r="DF421" s="1768"/>
      <c r="DG421" s="1768"/>
      <c r="DH421" s="1768"/>
      <c r="DI421" s="1768"/>
      <c r="DJ421" s="1768"/>
      <c r="DK421" s="1768">
        <v>0</v>
      </c>
      <c r="DL421" s="1768"/>
      <c r="DM421" s="1768"/>
      <c r="DN421" s="1768"/>
      <c r="DO421" s="1768"/>
      <c r="DP421" s="1768"/>
      <c r="DQ421" s="1768"/>
      <c r="DR421" s="1768"/>
      <c r="DS421" s="1768"/>
      <c r="DT421" s="1768"/>
      <c r="DU421" s="1768"/>
      <c r="DV421" s="1768"/>
      <c r="DW421" s="1768"/>
      <c r="DX421" s="1768"/>
      <c r="DY421" s="1768"/>
      <c r="DZ421" s="1768"/>
      <c r="EA421" s="1768"/>
      <c r="EB421" s="1768"/>
      <c r="EC421" s="1768"/>
      <c r="ED421" s="1768"/>
      <c r="EE421" s="1768"/>
      <c r="EF421" s="1768"/>
      <c r="EG421" s="1768"/>
      <c r="EH421" s="1768"/>
      <c r="EI421" s="1768"/>
      <c r="EJ421" s="1768"/>
      <c r="EK421" s="1768"/>
      <c r="EL421" s="1768"/>
      <c r="EM421" s="1768"/>
      <c r="EN421" s="1768"/>
      <c r="EO421" s="1768"/>
      <c r="EP421" s="1768"/>
      <c r="EQ421" s="1768"/>
      <c r="ER421" s="1768"/>
      <c r="ES421" s="1768"/>
      <c r="ET421" s="1768"/>
      <c r="EU421" s="1768"/>
      <c r="EV421" s="1768">
        <v>216</v>
      </c>
      <c r="EW421" s="1768"/>
      <c r="EX421" s="1768"/>
      <c r="EY421" s="1768"/>
      <c r="EZ421" s="1768"/>
      <c r="FA421" s="1768">
        <v>0</v>
      </c>
      <c r="FB421" s="1768"/>
      <c r="FC421" s="1768"/>
      <c r="FD421" s="1768"/>
      <c r="FE421" s="1768"/>
      <c r="FF421" s="1768">
        <v>0</v>
      </c>
      <c r="FG421" s="1768">
        <v>0</v>
      </c>
      <c r="FH421" s="1768">
        <v>0</v>
      </c>
      <c r="FI421" s="1768">
        <v>0</v>
      </c>
    </row>
    <row r="422" spans="1:165">
      <c r="A422" s="1768">
        <v>422</v>
      </c>
      <c r="B422" s="1768" t="s">
        <v>2374</v>
      </c>
      <c r="C422" s="1768" t="s">
        <v>2352</v>
      </c>
      <c r="D422" s="1768" t="s">
        <v>1824</v>
      </c>
      <c r="E422" s="1768" t="s">
        <v>916</v>
      </c>
      <c r="F422" s="1768" t="s">
        <v>1237</v>
      </c>
      <c r="G422" s="1768" t="s">
        <v>1237</v>
      </c>
      <c r="H422" s="1768" t="s">
        <v>1237</v>
      </c>
      <c r="I422" s="1768" t="s">
        <v>1237</v>
      </c>
      <c r="J422" s="1768" t="s">
        <v>2353</v>
      </c>
      <c r="K422" s="1769">
        <v>44774</v>
      </c>
      <c r="L422" s="1768">
        <v>0</v>
      </c>
      <c r="M422" s="1768">
        <v>0</v>
      </c>
      <c r="N422" s="1768">
        <v>160.21700000000001</v>
      </c>
      <c r="O422" s="1768">
        <v>160.21700000000001</v>
      </c>
      <c r="P422" s="1768">
        <v>160.21700000000001</v>
      </c>
      <c r="Q422" s="1768">
        <v>160.21700000000001</v>
      </c>
      <c r="R422" s="1768"/>
      <c r="S422" s="1768">
        <v>415.98</v>
      </c>
      <c r="T422" s="1768">
        <v>215.17</v>
      </c>
      <c r="U422" s="1768"/>
      <c r="V422" s="1768">
        <v>101120.95955000001</v>
      </c>
      <c r="W422" s="1768">
        <v>101120.95955000001</v>
      </c>
      <c r="X422" s="1768">
        <v>87885.433180000007</v>
      </c>
      <c r="Y422" s="1768">
        <v>0</v>
      </c>
      <c r="Z422" s="1768">
        <v>9787.1114868563909</v>
      </c>
      <c r="AA422" s="1768">
        <v>0</v>
      </c>
      <c r="AB422" s="1768">
        <v>0</v>
      </c>
      <c r="AC422" s="1768">
        <v>0</v>
      </c>
      <c r="AD422" s="1768">
        <v>14309.873865112892</v>
      </c>
      <c r="AE422" s="1768">
        <v>40504.538564205504</v>
      </c>
      <c r="AF422" s="1768">
        <v>33767.645354001637</v>
      </c>
      <c r="AG422" s="1768">
        <v>706.07222304867969</v>
      </c>
      <c r="AH422" s="1768">
        <v>0</v>
      </c>
      <c r="AI422" s="1768">
        <v>0</v>
      </c>
      <c r="AJ422" s="1768">
        <v>0</v>
      </c>
      <c r="AK422" s="1768">
        <v>0</v>
      </c>
      <c r="AL422" s="1768">
        <v>1512.3597770420051</v>
      </c>
      <c r="AM422" s="1768"/>
      <c r="AN422" s="1768">
        <v>188.63909186737399</v>
      </c>
      <c r="AO422" s="1768">
        <v>0</v>
      </c>
      <c r="AP422" s="1768">
        <v>0</v>
      </c>
      <c r="AQ422" s="1768">
        <v>0</v>
      </c>
      <c r="AR422" s="1768">
        <v>0</v>
      </c>
      <c r="AS422" s="1768">
        <v>0</v>
      </c>
      <c r="AT422" s="1768">
        <v>0</v>
      </c>
      <c r="AU422" s="1768">
        <v>0</v>
      </c>
      <c r="AV422" s="1768">
        <v>0</v>
      </c>
      <c r="AW422" s="1768">
        <v>0</v>
      </c>
      <c r="AX422" s="1768">
        <v>0</v>
      </c>
      <c r="AY422" s="1768">
        <v>0</v>
      </c>
      <c r="AZ422" s="1768">
        <v>0</v>
      </c>
      <c r="BA422" s="1768"/>
      <c r="BB422" s="1768">
        <v>0</v>
      </c>
      <c r="BC422" s="1768">
        <v>0</v>
      </c>
      <c r="BD422" s="1768">
        <v>0</v>
      </c>
      <c r="BE422" s="1768">
        <v>0</v>
      </c>
      <c r="BF422" s="1768">
        <v>0</v>
      </c>
      <c r="BG422" s="1768">
        <v>344.77649671161066</v>
      </c>
      <c r="BH422" s="1768">
        <v>0</v>
      </c>
      <c r="BI422" s="1768">
        <v>0</v>
      </c>
      <c r="BJ422" s="1768">
        <v>0</v>
      </c>
      <c r="BK422" s="1768">
        <v>17658.02</v>
      </c>
      <c r="BL422" s="1768">
        <v>442</v>
      </c>
      <c r="BM422" s="1768"/>
      <c r="BN422" s="1768"/>
      <c r="BO422" s="1768"/>
      <c r="BP422" s="1768"/>
      <c r="BQ422" s="1768"/>
      <c r="BR422" s="1768"/>
      <c r="BS422" s="1768"/>
      <c r="BT422" s="1768"/>
      <c r="BU422" s="1768"/>
      <c r="BV422" s="1768">
        <v>34112.421850713246</v>
      </c>
      <c r="BW422" s="1768"/>
      <c r="BX422" s="1768"/>
      <c r="BY422" s="1768"/>
      <c r="BZ422" s="1768"/>
      <c r="CA422" s="1768"/>
      <c r="CB422" s="1768"/>
      <c r="CC422" s="1768"/>
      <c r="CD422" s="1768"/>
      <c r="CE422" s="1768"/>
      <c r="CF422" s="1768"/>
      <c r="CG422" s="1768"/>
      <c r="CH422" s="1768"/>
      <c r="CI422" s="1768">
        <v>87887.078799999988</v>
      </c>
      <c r="CJ422" s="1768">
        <v>-13233.91075000001</v>
      </c>
      <c r="CK422" s="1768"/>
      <c r="CL422" s="1768"/>
      <c r="CM422" s="1768"/>
      <c r="CN422" s="1768"/>
      <c r="CO422" s="1768">
        <v>-17590.224430000006</v>
      </c>
      <c r="CP422" s="1768">
        <v>4354.6980600000015</v>
      </c>
      <c r="CQ422" s="1768">
        <v>31</v>
      </c>
      <c r="CR422" s="1768">
        <v>4536.3671125544497</v>
      </c>
      <c r="CS422" s="1768">
        <v>0</v>
      </c>
      <c r="CT422" s="1768">
        <v>0</v>
      </c>
      <c r="CU422" s="1768">
        <v>0</v>
      </c>
      <c r="CV422" s="1768">
        <v>0</v>
      </c>
      <c r="CW422" s="1768">
        <v>0</v>
      </c>
      <c r="CX422" s="1768">
        <v>0</v>
      </c>
      <c r="CY422" s="1768">
        <v>0</v>
      </c>
      <c r="CZ422" s="1768">
        <v>595.60817425774076</v>
      </c>
      <c r="DA422" s="1768">
        <v>0</v>
      </c>
      <c r="DB422" s="1768">
        <v>0</v>
      </c>
      <c r="DC422" s="1768">
        <v>4354.6155609272973</v>
      </c>
      <c r="DD422" s="1768">
        <v>0</v>
      </c>
      <c r="DE422" s="1768">
        <v>0</v>
      </c>
      <c r="DF422" s="1768">
        <v>0</v>
      </c>
      <c r="DG422" s="1768">
        <v>44.461764564359441</v>
      </c>
      <c r="DH422" s="1768">
        <v>0</v>
      </c>
      <c r="DI422" s="1768">
        <v>-397.93414031764769</v>
      </c>
      <c r="DJ422" s="1768"/>
      <c r="DK422" s="1768">
        <v>0</v>
      </c>
      <c r="DL422" s="1768">
        <v>0</v>
      </c>
      <c r="DM422" s="1768">
        <v>0</v>
      </c>
      <c r="DN422" s="1768">
        <v>0</v>
      </c>
      <c r="DO422" s="1768">
        <v>-48.086293611381279</v>
      </c>
      <c r="DP422" s="1768">
        <v>-12.29795326592378</v>
      </c>
      <c r="DQ422" s="1768">
        <v>0</v>
      </c>
      <c r="DR422" s="1768">
        <v>0</v>
      </c>
      <c r="DS422" s="1768"/>
      <c r="DT422" s="1768"/>
      <c r="DU422" s="1768"/>
      <c r="DV422" s="1768">
        <v>40504.538564205504</v>
      </c>
      <c r="DW422" s="1768">
        <v>0</v>
      </c>
      <c r="DX422" s="1768">
        <v>0</v>
      </c>
      <c r="DY422" s="1768">
        <v>-17590.224430000009</v>
      </c>
      <c r="DZ422" s="1768">
        <v>4354.6980600000024</v>
      </c>
      <c r="EA422" s="1768">
        <v>0</v>
      </c>
      <c r="EB422" s="1768">
        <v>0</v>
      </c>
      <c r="EC422" s="1768">
        <v>-17772.269805337812</v>
      </c>
      <c r="ED422" s="1768">
        <v>0</v>
      </c>
      <c r="EE422" s="1768">
        <v>0</v>
      </c>
      <c r="EF422" s="1768">
        <v>0</v>
      </c>
      <c r="EG422" s="1768">
        <v>0</v>
      </c>
      <c r="EH422" s="1768">
        <v>0</v>
      </c>
      <c r="EI422" s="1768">
        <v>0</v>
      </c>
      <c r="EJ422" s="1768">
        <v>0</v>
      </c>
      <c r="EK422" s="1768">
        <v>0</v>
      </c>
      <c r="EL422" s="1768">
        <v>0</v>
      </c>
      <c r="EM422" s="1768">
        <v>0</v>
      </c>
      <c r="EN422" s="1768">
        <v>0</v>
      </c>
      <c r="EO422" s="1768">
        <v>0</v>
      </c>
      <c r="EP422" s="1768">
        <v>0</v>
      </c>
      <c r="EQ422" s="1768">
        <v>0</v>
      </c>
      <c r="ER422" s="1768">
        <v>0</v>
      </c>
      <c r="ES422" s="1768">
        <v>0</v>
      </c>
      <c r="ET422" s="1768">
        <v>0</v>
      </c>
      <c r="EU422" s="1768">
        <v>0</v>
      </c>
      <c r="EV422" s="1768">
        <v>216</v>
      </c>
      <c r="EW422" s="1768">
        <v>0</v>
      </c>
      <c r="EX422" s="1768">
        <v>0</v>
      </c>
      <c r="EY422" s="1768">
        <v>0</v>
      </c>
      <c r="EZ422" s="1768"/>
      <c r="FA422" s="1768">
        <v>0</v>
      </c>
      <c r="FB422" s="1768"/>
      <c r="FC422" s="1768"/>
      <c r="FD422" s="1768"/>
      <c r="FE422" s="1768"/>
      <c r="FF422" s="1768">
        <v>0</v>
      </c>
      <c r="FG422" s="1768">
        <v>0</v>
      </c>
      <c r="FH422" s="1768">
        <v>0</v>
      </c>
      <c r="FI422" s="1768">
        <v>0</v>
      </c>
    </row>
    <row r="423" spans="1:165">
      <c r="A423" s="1768">
        <v>423</v>
      </c>
      <c r="B423" s="1768" t="s">
        <v>2374</v>
      </c>
      <c r="C423" s="1768" t="s">
        <v>2352</v>
      </c>
      <c r="D423" s="1768" t="s">
        <v>1824</v>
      </c>
      <c r="E423" s="1768" t="s">
        <v>916</v>
      </c>
      <c r="F423" s="1768" t="s">
        <v>1237</v>
      </c>
      <c r="G423" s="1768" t="s">
        <v>1237</v>
      </c>
      <c r="H423" s="1768" t="s">
        <v>1237</v>
      </c>
      <c r="I423" s="1768" t="s">
        <v>1237</v>
      </c>
      <c r="J423" s="1768" t="s">
        <v>2353</v>
      </c>
      <c r="K423" s="1769">
        <v>44774</v>
      </c>
      <c r="L423" s="1768">
        <v>0</v>
      </c>
      <c r="M423" s="1768">
        <v>0</v>
      </c>
      <c r="N423" s="1768">
        <v>0</v>
      </c>
      <c r="O423" s="1768">
        <v>0</v>
      </c>
      <c r="P423" s="1768">
        <v>0</v>
      </c>
      <c r="Q423" s="1768">
        <v>0</v>
      </c>
      <c r="R423" s="1768"/>
      <c r="S423" s="1768"/>
      <c r="T423" s="1768"/>
      <c r="U423" s="1768"/>
      <c r="V423" s="1768"/>
      <c r="W423" s="1768"/>
      <c r="X423" s="1768"/>
      <c r="Y423" s="1768"/>
      <c r="Z423" s="1768"/>
      <c r="AA423" s="1768">
        <v>0</v>
      </c>
      <c r="AB423" s="1768"/>
      <c r="AC423" s="1768"/>
      <c r="AD423" s="1768"/>
      <c r="AE423" s="1768"/>
      <c r="AF423" s="1768"/>
      <c r="AG423" s="1768"/>
      <c r="AH423" s="1768"/>
      <c r="AI423" s="1768"/>
      <c r="AJ423" s="1768"/>
      <c r="AK423" s="1768"/>
      <c r="AL423" s="1768"/>
      <c r="AM423" s="1768"/>
      <c r="AN423" s="1768"/>
      <c r="AO423" s="1768"/>
      <c r="AP423" s="1768"/>
      <c r="AQ423" s="1768"/>
      <c r="AR423" s="1768"/>
      <c r="AS423" s="1768"/>
      <c r="AT423" s="1768"/>
      <c r="AU423" s="1768"/>
      <c r="AV423" s="1768"/>
      <c r="AW423" s="1768"/>
      <c r="AX423" s="1768"/>
      <c r="AY423" s="1768"/>
      <c r="AZ423" s="1768">
        <v>0</v>
      </c>
      <c r="BA423" s="1768"/>
      <c r="BB423" s="1768"/>
      <c r="BC423" s="1768"/>
      <c r="BD423" s="1768"/>
      <c r="BE423" s="1768"/>
      <c r="BF423" s="1768"/>
      <c r="BG423" s="1768"/>
      <c r="BH423" s="1768"/>
      <c r="BI423" s="1768">
        <v>0</v>
      </c>
      <c r="BJ423" s="1768">
        <v>0</v>
      </c>
      <c r="BK423" s="1768">
        <v>-305.82</v>
      </c>
      <c r="BL423" s="1768">
        <v>0</v>
      </c>
      <c r="BM423" s="1768"/>
      <c r="BN423" s="1768"/>
      <c r="BO423" s="1768"/>
      <c r="BP423" s="1768"/>
      <c r="BQ423" s="1768"/>
      <c r="BR423" s="1768"/>
      <c r="BS423" s="1768"/>
      <c r="BT423" s="1768"/>
      <c r="BU423" s="1768"/>
      <c r="BV423" s="1768"/>
      <c r="BW423" s="1768"/>
      <c r="BX423" s="1768"/>
      <c r="BY423" s="1768"/>
      <c r="BZ423" s="1768"/>
      <c r="CA423" s="1768"/>
      <c r="CB423" s="1768"/>
      <c r="CC423" s="1768"/>
      <c r="CD423" s="1768"/>
      <c r="CE423" s="1768"/>
      <c r="CF423" s="1768"/>
      <c r="CG423" s="1768"/>
      <c r="CH423" s="1768"/>
      <c r="CI423" s="1768"/>
      <c r="CJ423" s="1768">
        <v>-0.03</v>
      </c>
      <c r="CK423" s="1768"/>
      <c r="CL423" s="1768"/>
      <c r="CM423" s="1768"/>
      <c r="CN423" s="1768"/>
      <c r="CO423" s="1768">
        <v>0</v>
      </c>
      <c r="CP423" s="1768">
        <v>0</v>
      </c>
      <c r="CQ423" s="1768">
        <v>31</v>
      </c>
      <c r="CR423" s="1768"/>
      <c r="CS423" s="1768"/>
      <c r="CT423" s="1768"/>
      <c r="CU423" s="1768"/>
      <c r="CV423" s="1768"/>
      <c r="CW423" s="1768"/>
      <c r="CX423" s="1768"/>
      <c r="CY423" s="1768"/>
      <c r="CZ423" s="1768"/>
      <c r="DA423" s="1768"/>
      <c r="DB423" s="1768"/>
      <c r="DC423" s="1768"/>
      <c r="DD423" s="1768"/>
      <c r="DE423" s="1768"/>
      <c r="DF423" s="1768"/>
      <c r="DG423" s="1768"/>
      <c r="DH423" s="1768"/>
      <c r="DI423" s="1768"/>
      <c r="DJ423" s="1768"/>
      <c r="DK423" s="1768">
        <v>0</v>
      </c>
      <c r="DL423" s="1768"/>
      <c r="DM423" s="1768"/>
      <c r="DN423" s="1768"/>
      <c r="DO423" s="1768"/>
      <c r="DP423" s="1768"/>
      <c r="DQ423" s="1768"/>
      <c r="DR423" s="1768"/>
      <c r="DS423" s="1768"/>
      <c r="DT423" s="1768"/>
      <c r="DU423" s="1768"/>
      <c r="DV423" s="1768"/>
      <c r="DW423" s="1768"/>
      <c r="DX423" s="1768"/>
      <c r="DY423" s="1768"/>
      <c r="DZ423" s="1768"/>
      <c r="EA423" s="1768"/>
      <c r="EB423" s="1768"/>
      <c r="EC423" s="1768"/>
      <c r="ED423" s="1768"/>
      <c r="EE423" s="1768"/>
      <c r="EF423" s="1768"/>
      <c r="EG423" s="1768"/>
      <c r="EH423" s="1768"/>
      <c r="EI423" s="1768"/>
      <c r="EJ423" s="1768"/>
      <c r="EK423" s="1768"/>
      <c r="EL423" s="1768"/>
      <c r="EM423" s="1768"/>
      <c r="EN423" s="1768"/>
      <c r="EO423" s="1768"/>
      <c r="EP423" s="1768"/>
      <c r="EQ423" s="1768"/>
      <c r="ER423" s="1768"/>
      <c r="ES423" s="1768"/>
      <c r="ET423" s="1768"/>
      <c r="EU423" s="1768"/>
      <c r="EV423" s="1768">
        <v>216</v>
      </c>
      <c r="EW423" s="1768"/>
      <c r="EX423" s="1768"/>
      <c r="EY423" s="1768"/>
      <c r="EZ423" s="1768"/>
      <c r="FA423" s="1768">
        <v>0</v>
      </c>
      <c r="FB423" s="1768"/>
      <c r="FC423" s="1768"/>
      <c r="FD423" s="1768"/>
      <c r="FE423" s="1768"/>
      <c r="FF423" s="1768">
        <v>0</v>
      </c>
      <c r="FG423" s="1768">
        <v>0</v>
      </c>
      <c r="FH423" s="1768">
        <v>0</v>
      </c>
      <c r="FI423" s="1768">
        <v>0</v>
      </c>
    </row>
    <row r="424" spans="1:165">
      <c r="A424" s="1768">
        <v>424</v>
      </c>
      <c r="B424" s="1768" t="s">
        <v>2374</v>
      </c>
      <c r="C424" s="1768" t="s">
        <v>2352</v>
      </c>
      <c r="D424" s="1768" t="s">
        <v>1824</v>
      </c>
      <c r="E424" s="1768" t="s">
        <v>916</v>
      </c>
      <c r="F424" s="1768" t="s">
        <v>1237</v>
      </c>
      <c r="G424" s="1768" t="s">
        <v>1237</v>
      </c>
      <c r="H424" s="1768" t="s">
        <v>1237</v>
      </c>
      <c r="I424" s="1768" t="s">
        <v>1237</v>
      </c>
      <c r="J424" s="1768" t="s">
        <v>2353</v>
      </c>
      <c r="K424" s="1769">
        <v>44774</v>
      </c>
      <c r="L424" s="1768">
        <v>0</v>
      </c>
      <c r="M424" s="1768">
        <v>0</v>
      </c>
      <c r="N424" s="1768">
        <v>3.056</v>
      </c>
      <c r="O424" s="1768">
        <v>3.056</v>
      </c>
      <c r="P424" s="1768">
        <v>3.056</v>
      </c>
      <c r="Q424" s="1768">
        <v>3.056</v>
      </c>
      <c r="R424" s="1768"/>
      <c r="S424" s="1768">
        <v>415.98</v>
      </c>
      <c r="T424" s="1768">
        <v>215.17</v>
      </c>
      <c r="U424" s="1768"/>
      <c r="V424" s="1768">
        <v>1928.7944</v>
      </c>
      <c r="W424" s="1768">
        <v>1928.7944</v>
      </c>
      <c r="X424" s="1768">
        <v>1676.33824</v>
      </c>
      <c r="Y424" s="1768">
        <v>0</v>
      </c>
      <c r="Z424" s="1768">
        <v>186.6806437758361</v>
      </c>
      <c r="AA424" s="1768">
        <v>0</v>
      </c>
      <c r="AB424" s="1768">
        <v>0</v>
      </c>
      <c r="AC424" s="1768">
        <v>0</v>
      </c>
      <c r="AD424" s="1768">
        <v>272.9484045499853</v>
      </c>
      <c r="AE424" s="1768">
        <v>772.58886293097498</v>
      </c>
      <c r="AF424" s="1768">
        <v>644.08848125872407</v>
      </c>
      <c r="AG424" s="1768">
        <v>13.467713873289131</v>
      </c>
      <c r="AH424" s="1768">
        <v>0</v>
      </c>
      <c r="AI424" s="1768">
        <v>0</v>
      </c>
      <c r="AJ424" s="1768">
        <v>0</v>
      </c>
      <c r="AK424" s="1768">
        <v>0</v>
      </c>
      <c r="AL424" s="1768">
        <v>28.846948068184819</v>
      </c>
      <c r="AM424" s="1768"/>
      <c r="AN424" s="1768">
        <v>3.5981266953362931</v>
      </c>
      <c r="AO424" s="1768">
        <v>0</v>
      </c>
      <c r="AP424" s="1768">
        <v>0</v>
      </c>
      <c r="AQ424" s="1768">
        <v>0</v>
      </c>
      <c r="AR424" s="1768">
        <v>0</v>
      </c>
      <c r="AS424" s="1768">
        <v>0</v>
      </c>
      <c r="AT424" s="1768">
        <v>0</v>
      </c>
      <c r="AU424" s="1768">
        <v>0</v>
      </c>
      <c r="AV424" s="1768">
        <v>0</v>
      </c>
      <c r="AW424" s="1768">
        <v>0</v>
      </c>
      <c r="AX424" s="1768">
        <v>0</v>
      </c>
      <c r="AY424" s="1768">
        <v>0</v>
      </c>
      <c r="AZ424" s="1768">
        <v>0</v>
      </c>
      <c r="BA424" s="1768"/>
      <c r="BB424" s="1768">
        <v>0</v>
      </c>
      <c r="BC424" s="1768">
        <v>0</v>
      </c>
      <c r="BD424" s="1768">
        <v>0</v>
      </c>
      <c r="BE424" s="1768">
        <v>0</v>
      </c>
      <c r="BF424" s="1768">
        <v>0</v>
      </c>
      <c r="BG424" s="1768">
        <v>6.5763119640904657</v>
      </c>
      <c r="BH424" s="1768">
        <v>0</v>
      </c>
      <c r="BI424" s="1768">
        <v>0</v>
      </c>
      <c r="BJ424" s="1768">
        <v>0</v>
      </c>
      <c r="BK424" s="1768">
        <v>392.71</v>
      </c>
      <c r="BL424" s="1768">
        <v>8</v>
      </c>
      <c r="BM424" s="1768"/>
      <c r="BN424" s="1768"/>
      <c r="BO424" s="1768"/>
      <c r="BP424" s="1768"/>
      <c r="BQ424" s="1768"/>
      <c r="BR424" s="1768"/>
      <c r="BS424" s="1768"/>
      <c r="BT424" s="1768"/>
      <c r="BU424" s="1768"/>
      <c r="BV424" s="1768">
        <v>650.66479322281452</v>
      </c>
      <c r="BW424" s="1768"/>
      <c r="BX424" s="1768"/>
      <c r="BY424" s="1768"/>
      <c r="BZ424" s="1768"/>
      <c r="CA424" s="1768"/>
      <c r="CB424" s="1768"/>
      <c r="CC424" s="1768"/>
      <c r="CD424" s="1768"/>
      <c r="CE424" s="1768"/>
      <c r="CF424" s="1768"/>
      <c r="CG424" s="1768"/>
      <c r="CH424" s="1768"/>
      <c r="CI424" s="1768">
        <v>1678.5324000000001</v>
      </c>
      <c r="CJ424" s="1768">
        <v>-250.29199999999992</v>
      </c>
      <c r="CK424" s="1768"/>
      <c r="CL424" s="1768"/>
      <c r="CM424" s="1768"/>
      <c r="CN424" s="1768"/>
      <c r="CO424" s="1768">
        <v>-335.51824000000005</v>
      </c>
      <c r="CP424" s="1768">
        <v>83.062080000000023</v>
      </c>
      <c r="CQ424" s="1768">
        <v>31</v>
      </c>
      <c r="CR424" s="1768">
        <v>86.527259254425871</v>
      </c>
      <c r="CS424" s="1768">
        <v>0</v>
      </c>
      <c r="CT424" s="1768">
        <v>0</v>
      </c>
      <c r="CU424" s="1768">
        <v>0</v>
      </c>
      <c r="CV424" s="1768">
        <v>0</v>
      </c>
      <c r="CW424" s="1768">
        <v>0</v>
      </c>
      <c r="CX424" s="1768">
        <v>0</v>
      </c>
      <c r="CY424" s="1768">
        <v>0</v>
      </c>
      <c r="CZ424" s="1768">
        <v>11.3607081678702</v>
      </c>
      <c r="DA424" s="1768">
        <v>0</v>
      </c>
      <c r="DB424" s="1768">
        <v>0</v>
      </c>
      <c r="DC424" s="1768">
        <v>83.060506401903808</v>
      </c>
      <c r="DD424" s="1768">
        <v>0</v>
      </c>
      <c r="DE424" s="1768">
        <v>0</v>
      </c>
      <c r="DF424" s="1768">
        <v>0</v>
      </c>
      <c r="DG424" s="1768">
        <v>0.84806950890780897</v>
      </c>
      <c r="DH424" s="1768">
        <v>0</v>
      </c>
      <c r="DI424" s="1768">
        <v>-7.5902478064795389</v>
      </c>
      <c r="DJ424" s="1768"/>
      <c r="DK424" s="1768">
        <v>0</v>
      </c>
      <c r="DL424" s="1768">
        <v>0</v>
      </c>
      <c r="DM424" s="1768">
        <v>0</v>
      </c>
      <c r="DN424" s="1768">
        <v>0</v>
      </c>
      <c r="DO424" s="1768">
        <v>-0.91720424971370562</v>
      </c>
      <c r="DP424" s="1768">
        <v>-0.23457276806245941</v>
      </c>
      <c r="DQ424" s="1768">
        <v>0</v>
      </c>
      <c r="DR424" s="1768">
        <v>0</v>
      </c>
      <c r="DS424" s="1768"/>
      <c r="DT424" s="1768"/>
      <c r="DU424" s="1768"/>
      <c r="DV424" s="1768">
        <v>772.58886293097498</v>
      </c>
      <c r="DW424" s="1768">
        <v>0</v>
      </c>
      <c r="DX424" s="1768">
        <v>0</v>
      </c>
      <c r="DY424" s="1768">
        <v>-335.51823999999999</v>
      </c>
      <c r="DZ424" s="1768">
        <v>83.062079999999924</v>
      </c>
      <c r="EA424" s="1768">
        <v>0</v>
      </c>
      <c r="EB424" s="1768">
        <v>0</v>
      </c>
      <c r="EC424" s="1768">
        <v>-338.99059728438527</v>
      </c>
      <c r="ED424" s="1768">
        <v>0</v>
      </c>
      <c r="EE424" s="1768">
        <v>0</v>
      </c>
      <c r="EF424" s="1768">
        <v>0</v>
      </c>
      <c r="EG424" s="1768">
        <v>0</v>
      </c>
      <c r="EH424" s="1768">
        <v>0</v>
      </c>
      <c r="EI424" s="1768">
        <v>0</v>
      </c>
      <c r="EJ424" s="1768">
        <v>0</v>
      </c>
      <c r="EK424" s="1768">
        <v>0</v>
      </c>
      <c r="EL424" s="1768">
        <v>0</v>
      </c>
      <c r="EM424" s="1768">
        <v>0</v>
      </c>
      <c r="EN424" s="1768">
        <v>0</v>
      </c>
      <c r="EO424" s="1768">
        <v>0</v>
      </c>
      <c r="EP424" s="1768">
        <v>0</v>
      </c>
      <c r="EQ424" s="1768">
        <v>0</v>
      </c>
      <c r="ER424" s="1768">
        <v>0</v>
      </c>
      <c r="ES424" s="1768">
        <v>0</v>
      </c>
      <c r="ET424" s="1768">
        <v>0</v>
      </c>
      <c r="EU424" s="1768">
        <v>0</v>
      </c>
      <c r="EV424" s="1768">
        <v>216</v>
      </c>
      <c r="EW424" s="1768">
        <v>0</v>
      </c>
      <c r="EX424" s="1768">
        <v>0</v>
      </c>
      <c r="EY424" s="1768">
        <v>0</v>
      </c>
      <c r="EZ424" s="1768"/>
      <c r="FA424" s="1768">
        <v>0</v>
      </c>
      <c r="FB424" s="1768"/>
      <c r="FC424" s="1768"/>
      <c r="FD424" s="1768"/>
      <c r="FE424" s="1768"/>
      <c r="FF424" s="1768">
        <v>0</v>
      </c>
      <c r="FG424" s="1768">
        <v>0</v>
      </c>
      <c r="FH424" s="1768">
        <v>0</v>
      </c>
      <c r="FI424" s="1768">
        <v>0</v>
      </c>
    </row>
    <row r="425" spans="1:165">
      <c r="A425" s="1768">
        <v>425</v>
      </c>
      <c r="B425" s="1768" t="s">
        <v>2374</v>
      </c>
      <c r="C425" s="1768" t="s">
        <v>2360</v>
      </c>
      <c r="D425" s="1768" t="s">
        <v>533</v>
      </c>
      <c r="E425" s="1768" t="s">
        <v>916</v>
      </c>
      <c r="F425" s="1768" t="s">
        <v>1237</v>
      </c>
      <c r="G425" s="1768" t="s">
        <v>1237</v>
      </c>
      <c r="H425" s="1768" t="s">
        <v>1237</v>
      </c>
      <c r="I425" s="1768" t="s">
        <v>891</v>
      </c>
      <c r="J425" s="1768" t="s">
        <v>2353</v>
      </c>
      <c r="K425" s="1769">
        <v>44774</v>
      </c>
      <c r="L425" s="1768">
        <v>0</v>
      </c>
      <c r="M425" s="1768">
        <v>0</v>
      </c>
      <c r="N425" s="1768">
        <v>2.4049999999999998</v>
      </c>
      <c r="O425" s="1768">
        <v>2.4049999999999998</v>
      </c>
      <c r="P425" s="1768">
        <v>2.4049999999999998</v>
      </c>
      <c r="Q425" s="1768">
        <v>2.4049999999999998</v>
      </c>
      <c r="R425" s="1768"/>
      <c r="S425" s="1768">
        <v>2184.0300000000002</v>
      </c>
      <c r="T425" s="1768">
        <v>215.17</v>
      </c>
      <c r="U425" s="1768"/>
      <c r="V425" s="1768">
        <v>5770.076</v>
      </c>
      <c r="W425" s="1768">
        <v>5770.076</v>
      </c>
      <c r="X425" s="1768">
        <v>4353.9879499999997</v>
      </c>
      <c r="Y425" s="1768">
        <v>0</v>
      </c>
      <c r="Z425" s="1768">
        <v>127.81454352237242</v>
      </c>
      <c r="AA425" s="1768">
        <v>0</v>
      </c>
      <c r="AB425" s="1768">
        <v>0</v>
      </c>
      <c r="AC425" s="1768">
        <v>0</v>
      </c>
      <c r="AD425" s="1768">
        <v>1584.8812100983064</v>
      </c>
      <c r="AE425" s="1768">
        <v>3513.5320229734339</v>
      </c>
      <c r="AF425" s="1768">
        <v>506.8824598911097</v>
      </c>
      <c r="AG425" s="1768">
        <v>10.598773516119227</v>
      </c>
      <c r="AH425" s="1768">
        <v>0</v>
      </c>
      <c r="AI425" s="1768">
        <v>0</v>
      </c>
      <c r="AJ425" s="1768">
        <v>0</v>
      </c>
      <c r="AK425" s="1768">
        <v>0</v>
      </c>
      <c r="AL425" s="1768">
        <v>22.701868489523719</v>
      </c>
      <c r="AM425" s="1768"/>
      <c r="AN425" s="1768">
        <v>1.6591437139187371</v>
      </c>
      <c r="AO425" s="1768">
        <v>0</v>
      </c>
      <c r="AP425" s="1768">
        <v>0</v>
      </c>
      <c r="AQ425" s="1768">
        <v>0</v>
      </c>
      <c r="AR425" s="1768">
        <v>0</v>
      </c>
      <c r="AS425" s="1768">
        <v>0</v>
      </c>
      <c r="AT425" s="1768">
        <v>0</v>
      </c>
      <c r="AU425" s="1768">
        <v>0</v>
      </c>
      <c r="AV425" s="1768">
        <v>0</v>
      </c>
      <c r="AW425" s="1768">
        <v>0</v>
      </c>
      <c r="AX425" s="1768">
        <v>0</v>
      </c>
      <c r="AY425" s="1768">
        <v>0</v>
      </c>
      <c r="AZ425" s="1768">
        <v>0</v>
      </c>
      <c r="BA425" s="1768"/>
      <c r="BB425" s="1768">
        <v>0</v>
      </c>
      <c r="BC425" s="1768">
        <v>0</v>
      </c>
      <c r="BD425" s="1768">
        <v>0</v>
      </c>
      <c r="BE425" s="1768">
        <v>0</v>
      </c>
      <c r="BF425" s="1768">
        <v>0</v>
      </c>
      <c r="BG425" s="1768">
        <v>1.9981968456777361</v>
      </c>
      <c r="BH425" s="1768">
        <v>0</v>
      </c>
      <c r="BI425" s="1768">
        <v>0</v>
      </c>
      <c r="BJ425" s="1768">
        <v>0</v>
      </c>
      <c r="BK425" s="1768">
        <v>0</v>
      </c>
      <c r="BL425" s="1768">
        <v>0</v>
      </c>
      <c r="BM425" s="1768"/>
      <c r="BN425" s="1768"/>
      <c r="BO425" s="1768"/>
      <c r="BP425" s="1768"/>
      <c r="BQ425" s="1768"/>
      <c r="BR425" s="1768"/>
      <c r="BS425" s="1768"/>
      <c r="BT425" s="1768"/>
      <c r="BU425" s="1768"/>
      <c r="BV425" s="1768">
        <v>508.88065673678744</v>
      </c>
      <c r="BW425" s="1768"/>
      <c r="BX425" s="1768"/>
      <c r="BY425" s="1768"/>
      <c r="BZ425" s="1768"/>
      <c r="CA425" s="1768"/>
      <c r="CB425" s="1768"/>
      <c r="CC425" s="1768"/>
      <c r="CD425" s="1768"/>
      <c r="CE425" s="1768"/>
      <c r="CF425" s="1768"/>
      <c r="CG425" s="1768"/>
      <c r="CH425" s="1768"/>
      <c r="CI425" s="1768">
        <v>4363.0398999999998</v>
      </c>
      <c r="CJ425" s="1768">
        <v>-1407.0661000000009</v>
      </c>
      <c r="CK425" s="1768"/>
      <c r="CL425" s="1768"/>
      <c r="CM425" s="1768"/>
      <c r="CN425" s="1768"/>
      <c r="CO425" s="1768">
        <v>-1481.4559500000005</v>
      </c>
      <c r="CP425" s="1768">
        <v>65.367900000000006</v>
      </c>
      <c r="CQ425" s="1768">
        <v>31</v>
      </c>
      <c r="CR425" s="1768">
        <v>125.56376576410685</v>
      </c>
      <c r="CS425" s="1768">
        <v>0</v>
      </c>
      <c r="CT425" s="1768">
        <v>0</v>
      </c>
      <c r="CU425" s="1768">
        <v>0</v>
      </c>
      <c r="CV425" s="1768">
        <v>0</v>
      </c>
      <c r="CW425" s="1768">
        <v>0</v>
      </c>
      <c r="CX425" s="1768">
        <v>0</v>
      </c>
      <c r="CY425" s="1768">
        <v>0</v>
      </c>
      <c r="CZ425" s="1768">
        <v>65.966214158142748</v>
      </c>
      <c r="DA425" s="1768">
        <v>0</v>
      </c>
      <c r="DB425" s="1768">
        <v>0</v>
      </c>
      <c r="DC425" s="1768">
        <v>65.366661615372493</v>
      </c>
      <c r="DD425" s="1768">
        <v>0</v>
      </c>
      <c r="DE425" s="1768">
        <v>0</v>
      </c>
      <c r="DF425" s="1768">
        <v>0</v>
      </c>
      <c r="DG425" s="1768">
        <v>0.25768391567619919</v>
      </c>
      <c r="DH425" s="1768">
        <v>0</v>
      </c>
      <c r="DI425" s="1768">
        <v>-5.196811190407999</v>
      </c>
      <c r="DJ425" s="1768"/>
      <c r="DK425" s="1768">
        <v>0</v>
      </c>
      <c r="DL425" s="1768">
        <v>0</v>
      </c>
      <c r="DM425" s="1768">
        <v>0</v>
      </c>
      <c r="DN425" s="1768">
        <v>0</v>
      </c>
      <c r="DO425" s="1768">
        <v>-0.72181813500047909</v>
      </c>
      <c r="DP425" s="1768">
        <v>-0.10816459967677594</v>
      </c>
      <c r="DQ425" s="1768">
        <v>0</v>
      </c>
      <c r="DR425" s="1768">
        <v>0</v>
      </c>
      <c r="DS425" s="1768"/>
      <c r="DT425" s="1768"/>
      <c r="DU425" s="1768"/>
      <c r="DV425" s="1768">
        <v>3513.5320229734339</v>
      </c>
      <c r="DW425" s="1768">
        <v>0</v>
      </c>
      <c r="DX425" s="1768">
        <v>0</v>
      </c>
      <c r="DY425" s="1768">
        <v>-1481.4559500000009</v>
      </c>
      <c r="DZ425" s="1768">
        <v>65.367899999999963</v>
      </c>
      <c r="EA425" s="1768">
        <v>0</v>
      </c>
      <c r="EB425" s="1768">
        <v>0</v>
      </c>
      <c r="EC425" s="1768">
        <v>-1541.6405493176132</v>
      </c>
      <c r="ED425" s="1768">
        <v>0</v>
      </c>
      <c r="EE425" s="1768">
        <v>0</v>
      </c>
      <c r="EF425" s="1768">
        <v>0</v>
      </c>
      <c r="EG425" s="1768">
        <v>0</v>
      </c>
      <c r="EH425" s="1768">
        <v>0</v>
      </c>
      <c r="EI425" s="1768">
        <v>0</v>
      </c>
      <c r="EJ425" s="1768">
        <v>0</v>
      </c>
      <c r="EK425" s="1768">
        <v>0</v>
      </c>
      <c r="EL425" s="1768">
        <v>0</v>
      </c>
      <c r="EM425" s="1768">
        <v>0</v>
      </c>
      <c r="EN425" s="1768">
        <v>0</v>
      </c>
      <c r="EO425" s="1768">
        <v>0</v>
      </c>
      <c r="EP425" s="1768">
        <v>0</v>
      </c>
      <c r="EQ425" s="1768">
        <v>0</v>
      </c>
      <c r="ER425" s="1768">
        <v>0</v>
      </c>
      <c r="ES425" s="1768">
        <v>0</v>
      </c>
      <c r="ET425" s="1768">
        <v>0</v>
      </c>
      <c r="EU425" s="1768">
        <v>0</v>
      </c>
      <c r="EV425" s="1768">
        <v>216</v>
      </c>
      <c r="EW425" s="1768">
        <v>0</v>
      </c>
      <c r="EX425" s="1768">
        <v>0</v>
      </c>
      <c r="EY425" s="1768">
        <v>0</v>
      </c>
      <c r="EZ425" s="1768"/>
      <c r="FA425" s="1768">
        <v>0</v>
      </c>
      <c r="FB425" s="1768"/>
      <c r="FC425" s="1768"/>
      <c r="FD425" s="1768"/>
      <c r="FE425" s="1768"/>
      <c r="FF425" s="1768">
        <v>0</v>
      </c>
      <c r="FG425" s="1768">
        <v>0</v>
      </c>
      <c r="FH425" s="1768">
        <v>0</v>
      </c>
      <c r="FI425" s="1768">
        <v>0</v>
      </c>
    </row>
    <row r="426" spans="1:165">
      <c r="A426" s="1768">
        <v>426</v>
      </c>
      <c r="B426" s="1768" t="s">
        <v>2374</v>
      </c>
      <c r="C426" s="1768" t="s">
        <v>2360</v>
      </c>
      <c r="D426" s="1768" t="s">
        <v>533</v>
      </c>
      <c r="E426" s="1768" t="s">
        <v>916</v>
      </c>
      <c r="F426" s="1768" t="s">
        <v>1237</v>
      </c>
      <c r="G426" s="1768" t="s">
        <v>1237</v>
      </c>
      <c r="H426" s="1768" t="s">
        <v>1237</v>
      </c>
      <c r="I426" s="1768" t="s">
        <v>2327</v>
      </c>
      <c r="J426" s="1768" t="s">
        <v>2353</v>
      </c>
      <c r="K426" s="1769">
        <v>44774</v>
      </c>
      <c r="L426" s="1768">
        <v>0</v>
      </c>
      <c r="M426" s="1768">
        <v>0</v>
      </c>
      <c r="N426" s="1768">
        <v>26.928999999999998</v>
      </c>
      <c r="O426" s="1768">
        <v>26.928999999999998</v>
      </c>
      <c r="P426" s="1768">
        <v>26.928999999999998</v>
      </c>
      <c r="Q426" s="1768">
        <v>26.928999999999998</v>
      </c>
      <c r="R426" s="1768"/>
      <c r="S426" s="1768">
        <v>64.11</v>
      </c>
      <c r="T426" s="1768">
        <v>215.17</v>
      </c>
      <c r="U426" s="1768"/>
      <c r="V426" s="1768">
        <v>7520.7311199999986</v>
      </c>
      <c r="W426" s="1768">
        <v>7520.7311199999986</v>
      </c>
      <c r="X426" s="1768">
        <v>8188.0317399999994</v>
      </c>
      <c r="Y426" s="1768">
        <v>0</v>
      </c>
      <c r="Z426" s="1768">
        <v>1431.1508700681775</v>
      </c>
      <c r="AA426" s="1768">
        <v>0</v>
      </c>
      <c r="AB426" s="1768">
        <v>0</v>
      </c>
      <c r="AC426" s="1768">
        <v>0</v>
      </c>
      <c r="AD426" s="1768">
        <v>0</v>
      </c>
      <c r="AE426" s="1768">
        <v>0</v>
      </c>
      <c r="AF426" s="1768">
        <v>5675.6082172173365</v>
      </c>
      <c r="AG426" s="1768">
        <v>118.67541455949051</v>
      </c>
      <c r="AH426" s="1768">
        <v>0</v>
      </c>
      <c r="AI426" s="1768">
        <v>0</v>
      </c>
      <c r="AJ426" s="1768">
        <v>0</v>
      </c>
      <c r="AK426" s="1768">
        <v>0</v>
      </c>
      <c r="AL426" s="1768">
        <v>254.19485095816393</v>
      </c>
      <c r="AM426" s="1768"/>
      <c r="AN426" s="1768">
        <v>18.577580487367015</v>
      </c>
      <c r="AO426" s="1768">
        <v>0</v>
      </c>
      <c r="AP426" s="1768">
        <v>0</v>
      </c>
      <c r="AQ426" s="1768">
        <v>0</v>
      </c>
      <c r="AR426" s="1768">
        <v>0</v>
      </c>
      <c r="AS426" s="1768">
        <v>0</v>
      </c>
      <c r="AT426" s="1768">
        <v>0</v>
      </c>
      <c r="AU426" s="1768">
        <v>0</v>
      </c>
      <c r="AV426" s="1768">
        <v>0</v>
      </c>
      <c r="AW426" s="1768">
        <v>0</v>
      </c>
      <c r="AX426" s="1768">
        <v>0</v>
      </c>
      <c r="AY426" s="1768">
        <v>0</v>
      </c>
      <c r="AZ426" s="1768">
        <v>0</v>
      </c>
      <c r="BA426" s="1768"/>
      <c r="BB426" s="1768">
        <v>0</v>
      </c>
      <c r="BC426" s="1768">
        <v>0</v>
      </c>
      <c r="BD426" s="1768">
        <v>0</v>
      </c>
      <c r="BE426" s="1768">
        <v>0</v>
      </c>
      <c r="BF426" s="1768">
        <v>0</v>
      </c>
      <c r="BG426" s="1768">
        <v>22.373988714035658</v>
      </c>
      <c r="BH426" s="1768">
        <v>0</v>
      </c>
      <c r="BI426" s="1768">
        <v>0</v>
      </c>
      <c r="BJ426" s="1768">
        <v>0</v>
      </c>
      <c r="BK426" s="1768">
        <v>0</v>
      </c>
      <c r="BL426" s="1768">
        <v>0</v>
      </c>
      <c r="BM426" s="1768"/>
      <c r="BN426" s="1768"/>
      <c r="BO426" s="1768"/>
      <c r="BP426" s="1768"/>
      <c r="BQ426" s="1768"/>
      <c r="BR426" s="1768"/>
      <c r="BS426" s="1768"/>
      <c r="BT426" s="1768"/>
      <c r="BU426" s="1768"/>
      <c r="BV426" s="1768">
        <v>5697.9822059313719</v>
      </c>
      <c r="BW426" s="1768"/>
      <c r="BX426" s="1768"/>
      <c r="BY426" s="1768"/>
      <c r="BZ426" s="1768"/>
      <c r="CA426" s="1768"/>
      <c r="CB426" s="1768"/>
      <c r="CC426" s="1768"/>
      <c r="CD426" s="1768"/>
      <c r="CE426" s="1768"/>
      <c r="CF426" s="1768"/>
      <c r="CG426" s="1768"/>
      <c r="CH426" s="1768"/>
      <c r="CI426" s="1768">
        <v>8188.3357999999998</v>
      </c>
      <c r="CJ426" s="1768">
        <v>667.57468000000063</v>
      </c>
      <c r="CK426" s="1768"/>
      <c r="CL426" s="1768"/>
      <c r="CM426" s="1768"/>
      <c r="CN426" s="1768"/>
      <c r="CO426" s="1768">
        <v>-64.629599999999954</v>
      </c>
      <c r="CP426" s="1768">
        <v>731.93022000000019</v>
      </c>
      <c r="CQ426" s="1768">
        <v>31</v>
      </c>
      <c r="CR426" s="1768">
        <v>667.31911317962113</v>
      </c>
      <c r="CS426" s="1768">
        <v>0</v>
      </c>
      <c r="CT426" s="1768">
        <v>0</v>
      </c>
      <c r="CU426" s="1768">
        <v>0</v>
      </c>
      <c r="CV426" s="1768">
        <v>0</v>
      </c>
      <c r="CW426" s="1768">
        <v>0</v>
      </c>
      <c r="CX426" s="1768">
        <v>0</v>
      </c>
      <c r="CY426" s="1768">
        <v>0</v>
      </c>
      <c r="CZ426" s="1768">
        <v>0</v>
      </c>
      <c r="DA426" s="1768">
        <v>0</v>
      </c>
      <c r="DB426" s="1768">
        <v>0</v>
      </c>
      <c r="DC426" s="1768">
        <v>731.91635369661799</v>
      </c>
      <c r="DD426" s="1768">
        <v>0</v>
      </c>
      <c r="DE426" s="1768">
        <v>0</v>
      </c>
      <c r="DF426" s="1768">
        <v>0</v>
      </c>
      <c r="DG426" s="1768">
        <v>2.8853098400184507</v>
      </c>
      <c r="DH426" s="1768">
        <v>0</v>
      </c>
      <c r="DI426" s="1768">
        <v>-58.189159478792817</v>
      </c>
      <c r="DJ426" s="1768"/>
      <c r="DK426" s="1768">
        <v>0</v>
      </c>
      <c r="DL426" s="1768">
        <v>0</v>
      </c>
      <c r="DM426" s="1768">
        <v>0</v>
      </c>
      <c r="DN426" s="1768">
        <v>0</v>
      </c>
      <c r="DO426" s="1768">
        <v>-8.0822621860407082</v>
      </c>
      <c r="DP426" s="1768">
        <v>-1.2111286921812479</v>
      </c>
      <c r="DQ426" s="1768">
        <v>0</v>
      </c>
      <c r="DR426" s="1768">
        <v>0</v>
      </c>
      <c r="DS426" s="1768"/>
      <c r="DT426" s="1768"/>
      <c r="DU426" s="1768"/>
      <c r="DV426" s="1768">
        <v>0</v>
      </c>
      <c r="DW426" s="1768">
        <v>0</v>
      </c>
      <c r="DX426" s="1768">
        <v>0</v>
      </c>
      <c r="DY426" s="1768">
        <v>-64.629599999999982</v>
      </c>
      <c r="DZ426" s="1768">
        <v>731.93022000000019</v>
      </c>
      <c r="EA426" s="1768">
        <v>0</v>
      </c>
      <c r="EB426" s="1768">
        <v>0</v>
      </c>
      <c r="EC426" s="1768">
        <v>0</v>
      </c>
      <c r="ED426" s="1768">
        <v>0</v>
      </c>
      <c r="EE426" s="1768">
        <v>0</v>
      </c>
      <c r="EF426" s="1768">
        <v>0</v>
      </c>
      <c r="EG426" s="1768">
        <v>0</v>
      </c>
      <c r="EH426" s="1768">
        <v>0</v>
      </c>
      <c r="EI426" s="1768">
        <v>0</v>
      </c>
      <c r="EJ426" s="1768">
        <v>0</v>
      </c>
      <c r="EK426" s="1768">
        <v>0</v>
      </c>
      <c r="EL426" s="1768">
        <v>0</v>
      </c>
      <c r="EM426" s="1768">
        <v>0</v>
      </c>
      <c r="EN426" s="1768">
        <v>0</v>
      </c>
      <c r="EO426" s="1768">
        <v>0</v>
      </c>
      <c r="EP426" s="1768">
        <v>0</v>
      </c>
      <c r="EQ426" s="1768">
        <v>0</v>
      </c>
      <c r="ER426" s="1768">
        <v>0</v>
      </c>
      <c r="ES426" s="1768">
        <v>0</v>
      </c>
      <c r="ET426" s="1768">
        <v>0</v>
      </c>
      <c r="EU426" s="1768">
        <v>0</v>
      </c>
      <c r="EV426" s="1768">
        <v>216</v>
      </c>
      <c r="EW426" s="1768">
        <v>0</v>
      </c>
      <c r="EX426" s="1768">
        <v>0</v>
      </c>
      <c r="EY426" s="1768">
        <v>0</v>
      </c>
      <c r="EZ426" s="1768"/>
      <c r="FA426" s="1768">
        <v>0</v>
      </c>
      <c r="FB426" s="1768"/>
      <c r="FC426" s="1768"/>
      <c r="FD426" s="1768"/>
      <c r="FE426" s="1768"/>
      <c r="FF426" s="1768">
        <v>0</v>
      </c>
      <c r="FG426" s="1768">
        <v>0</v>
      </c>
      <c r="FH426" s="1768">
        <v>0</v>
      </c>
      <c r="FI426" s="1768">
        <v>0</v>
      </c>
    </row>
    <row r="427" spans="1:165">
      <c r="A427" s="1768">
        <v>427</v>
      </c>
      <c r="B427" s="1768" t="s">
        <v>2374</v>
      </c>
      <c r="C427" s="1768" t="s">
        <v>2360</v>
      </c>
      <c r="D427" s="1768" t="s">
        <v>533</v>
      </c>
      <c r="E427" s="1768" t="s">
        <v>916</v>
      </c>
      <c r="F427" s="1768" t="s">
        <v>1237</v>
      </c>
      <c r="G427" s="1768" t="s">
        <v>1237</v>
      </c>
      <c r="H427" s="1768" t="s">
        <v>1237</v>
      </c>
      <c r="I427" s="1768" t="s">
        <v>1237</v>
      </c>
      <c r="J427" s="1768" t="s">
        <v>2353</v>
      </c>
      <c r="K427" s="1769">
        <v>44774</v>
      </c>
      <c r="L427" s="1768">
        <v>85</v>
      </c>
      <c r="M427" s="1768">
        <v>85</v>
      </c>
      <c r="N427" s="1768">
        <v>0</v>
      </c>
      <c r="O427" s="1768">
        <v>0</v>
      </c>
      <c r="P427" s="1768">
        <v>0</v>
      </c>
      <c r="Q427" s="1768">
        <v>0</v>
      </c>
      <c r="R427" s="1768">
        <v>28.04</v>
      </c>
      <c r="S427" s="1768"/>
      <c r="T427" s="1768"/>
      <c r="U427" s="1768">
        <v>2383.4</v>
      </c>
      <c r="V427" s="1768"/>
      <c r="W427" s="1768">
        <v>2383.4</v>
      </c>
      <c r="X427" s="1768">
        <v>1790.1</v>
      </c>
      <c r="Y427" s="1768">
        <v>0</v>
      </c>
      <c r="Z427" s="1768">
        <v>0</v>
      </c>
      <c r="AA427" s="1768">
        <v>0</v>
      </c>
      <c r="AB427" s="1768">
        <v>0</v>
      </c>
      <c r="AC427" s="1768">
        <v>0</v>
      </c>
      <c r="AD427" s="1768">
        <v>941.00757853286541</v>
      </c>
      <c r="AE427" s="1768">
        <v>1442.815491524344</v>
      </c>
      <c r="AF427" s="1768"/>
      <c r="AG427" s="1768"/>
      <c r="AH427" s="1768"/>
      <c r="AI427" s="1768">
        <v>0</v>
      </c>
      <c r="AJ427" s="1768">
        <v>0</v>
      </c>
      <c r="AK427" s="1768">
        <v>0</v>
      </c>
      <c r="AL427" s="1768">
        <v>0</v>
      </c>
      <c r="AM427" s="1768"/>
      <c r="AN427" s="1768">
        <v>0</v>
      </c>
      <c r="AO427" s="1768">
        <v>0</v>
      </c>
      <c r="AP427" s="1768">
        <v>0</v>
      </c>
      <c r="AQ427" s="1768">
        <v>0</v>
      </c>
      <c r="AR427" s="1768">
        <v>0</v>
      </c>
      <c r="AS427" s="1768"/>
      <c r="AT427" s="1768"/>
      <c r="AU427" s="1768">
        <v>0</v>
      </c>
      <c r="AV427" s="1768">
        <v>0</v>
      </c>
      <c r="AW427" s="1768">
        <v>0</v>
      </c>
      <c r="AX427" s="1768"/>
      <c r="AY427" s="1768"/>
      <c r="AZ427" s="1768">
        <v>0</v>
      </c>
      <c r="BA427" s="1768"/>
      <c r="BB427" s="1768">
        <v>0</v>
      </c>
      <c r="BC427" s="1768">
        <v>0</v>
      </c>
      <c r="BD427" s="1768">
        <v>0</v>
      </c>
      <c r="BE427" s="1768">
        <v>0</v>
      </c>
      <c r="BF427" s="1768"/>
      <c r="BG427" s="1768">
        <v>0</v>
      </c>
      <c r="BH427" s="1768">
        <v>0</v>
      </c>
      <c r="BI427" s="1768">
        <v>0</v>
      </c>
      <c r="BJ427" s="1768">
        <v>0</v>
      </c>
      <c r="BK427" s="1768">
        <v>2554.12</v>
      </c>
      <c r="BL427" s="1768">
        <v>1</v>
      </c>
      <c r="BM427" s="1768"/>
      <c r="BN427" s="1768"/>
      <c r="BO427" s="1768"/>
      <c r="BP427" s="1768"/>
      <c r="BQ427" s="1768"/>
      <c r="BR427" s="1768"/>
      <c r="BS427" s="1768"/>
      <c r="BT427" s="1768"/>
      <c r="BU427" s="1768"/>
      <c r="BV427" s="1768">
        <v>0</v>
      </c>
      <c r="BW427" s="1768"/>
      <c r="BX427" s="1768"/>
      <c r="BY427" s="1768"/>
      <c r="BZ427" s="1768"/>
      <c r="CA427" s="1768"/>
      <c r="CB427" s="1768"/>
      <c r="CC427" s="1768"/>
      <c r="CD427" s="1768"/>
      <c r="CE427" s="1768"/>
      <c r="CF427" s="1768"/>
      <c r="CG427" s="1768"/>
      <c r="CH427" s="1768"/>
      <c r="CI427" s="1768">
        <v>1790.1</v>
      </c>
      <c r="CJ427" s="1768">
        <v>-593.33000000000084</v>
      </c>
      <c r="CK427" s="1768"/>
      <c r="CL427" s="1768"/>
      <c r="CM427" s="1768"/>
      <c r="CN427" s="1768"/>
      <c r="CO427" s="1768">
        <v>-593.30000000000007</v>
      </c>
      <c r="CP427" s="1768">
        <v>0</v>
      </c>
      <c r="CQ427" s="1768">
        <v>31</v>
      </c>
      <c r="CR427" s="1768">
        <v>39.166788687006488</v>
      </c>
      <c r="CS427" s="1768">
        <v>0</v>
      </c>
      <c r="CT427" s="1768">
        <v>0</v>
      </c>
      <c r="CU427" s="1768">
        <v>0</v>
      </c>
      <c r="CV427" s="1768">
        <v>0</v>
      </c>
      <c r="CW427" s="1768"/>
      <c r="CX427" s="1768"/>
      <c r="CY427" s="1768"/>
      <c r="CZ427" s="1768">
        <v>39.166788687006488</v>
      </c>
      <c r="DA427" s="1768">
        <v>0</v>
      </c>
      <c r="DB427" s="1768">
        <v>0</v>
      </c>
      <c r="DC427" s="1768"/>
      <c r="DD427" s="1768"/>
      <c r="DE427" s="1768">
        <v>0</v>
      </c>
      <c r="DF427" s="1768">
        <v>0</v>
      </c>
      <c r="DG427" s="1768">
        <v>0</v>
      </c>
      <c r="DH427" s="1768">
        <v>0</v>
      </c>
      <c r="DI427" s="1768">
        <v>0</v>
      </c>
      <c r="DJ427" s="1768"/>
      <c r="DK427" s="1768">
        <v>0</v>
      </c>
      <c r="DL427" s="1768">
        <v>0</v>
      </c>
      <c r="DM427" s="1768"/>
      <c r="DN427" s="1768">
        <v>0</v>
      </c>
      <c r="DO427" s="1768">
        <v>0</v>
      </c>
      <c r="DP427" s="1768">
        <v>0</v>
      </c>
      <c r="DQ427" s="1768">
        <v>0</v>
      </c>
      <c r="DR427" s="1768">
        <v>0</v>
      </c>
      <c r="DS427" s="1768"/>
      <c r="DT427" s="1768"/>
      <c r="DU427" s="1768">
        <v>1442.815491524344</v>
      </c>
      <c r="DV427" s="1768"/>
      <c r="DW427" s="1768">
        <v>0</v>
      </c>
      <c r="DX427" s="1768">
        <v>0</v>
      </c>
      <c r="DY427" s="1768">
        <v>-593.30000000000018</v>
      </c>
      <c r="DZ427" s="1768"/>
      <c r="EA427" s="1768">
        <v>0</v>
      </c>
      <c r="EB427" s="1768"/>
      <c r="EC427" s="1768">
        <v>-633.06748092057182</v>
      </c>
      <c r="ED427" s="1768"/>
      <c r="EE427" s="1768">
        <v>0</v>
      </c>
      <c r="EF427" s="1768">
        <v>0</v>
      </c>
      <c r="EG427" s="1768"/>
      <c r="EH427" s="1768">
        <v>0</v>
      </c>
      <c r="EI427" s="1768">
        <v>0</v>
      </c>
      <c r="EJ427" s="1768">
        <v>0</v>
      </c>
      <c r="EK427" s="1768">
        <v>0</v>
      </c>
      <c r="EL427" s="1768">
        <v>0</v>
      </c>
      <c r="EM427" s="1768"/>
      <c r="EN427" s="1768"/>
      <c r="EO427" s="1768">
        <v>0</v>
      </c>
      <c r="EP427" s="1768">
        <v>0</v>
      </c>
      <c r="EQ427" s="1768"/>
      <c r="ER427" s="1768">
        <v>0</v>
      </c>
      <c r="ES427" s="1768"/>
      <c r="ET427" s="1768">
        <v>0</v>
      </c>
      <c r="EU427" s="1768"/>
      <c r="EV427" s="1768">
        <v>216</v>
      </c>
      <c r="EW427" s="1768"/>
      <c r="EX427" s="1768"/>
      <c r="EY427" s="1768"/>
      <c r="EZ427" s="1768"/>
      <c r="FA427" s="1768">
        <v>0</v>
      </c>
      <c r="FB427" s="1768"/>
      <c r="FC427" s="1768"/>
      <c r="FD427" s="1768"/>
      <c r="FE427" s="1768"/>
      <c r="FF427" s="1768">
        <v>0</v>
      </c>
      <c r="FG427" s="1768">
        <v>0</v>
      </c>
      <c r="FH427" s="1768">
        <v>0</v>
      </c>
      <c r="FI427" s="1768">
        <v>0</v>
      </c>
    </row>
    <row r="428" spans="1:165">
      <c r="A428" s="1768">
        <v>428</v>
      </c>
      <c r="B428" s="1768" t="s">
        <v>2374</v>
      </c>
      <c r="C428" s="1768" t="s">
        <v>2361</v>
      </c>
      <c r="D428" s="1768" t="s">
        <v>1824</v>
      </c>
      <c r="E428" s="1768" t="s">
        <v>916</v>
      </c>
      <c r="F428" s="1768" t="s">
        <v>1237</v>
      </c>
      <c r="G428" s="1768" t="s">
        <v>1237</v>
      </c>
      <c r="H428" s="1768" t="s">
        <v>1237</v>
      </c>
      <c r="I428" s="1768" t="s">
        <v>891</v>
      </c>
      <c r="J428" s="1768" t="s">
        <v>2353</v>
      </c>
      <c r="K428" s="1769">
        <v>44774</v>
      </c>
      <c r="L428" s="1768">
        <v>0</v>
      </c>
      <c r="M428" s="1768">
        <v>0</v>
      </c>
      <c r="N428" s="1768">
        <v>7.8E-2</v>
      </c>
      <c r="O428" s="1768">
        <v>7.8E-2</v>
      </c>
      <c r="P428" s="1768">
        <v>7.8E-2</v>
      </c>
      <c r="Q428" s="1768">
        <v>7.8E-2</v>
      </c>
      <c r="R428" s="1768"/>
      <c r="S428" s="1768">
        <v>1254.27</v>
      </c>
      <c r="T428" s="1768">
        <v>215.17</v>
      </c>
      <c r="U428" s="1768"/>
      <c r="V428" s="1768">
        <v>114.61632</v>
      </c>
      <c r="W428" s="1768">
        <v>114.61632</v>
      </c>
      <c r="X428" s="1768">
        <v>87.68526</v>
      </c>
      <c r="Y428" s="1768">
        <v>0</v>
      </c>
      <c r="Z428" s="1768">
        <v>4.7647546513466015</v>
      </c>
      <c r="AA428" s="1768">
        <v>0</v>
      </c>
      <c r="AB428" s="1768">
        <v>0</v>
      </c>
      <c r="AC428" s="1768">
        <v>0</v>
      </c>
      <c r="AD428" s="1768">
        <v>24.040832272259244</v>
      </c>
      <c r="AE428" s="1768">
        <v>68.031283348527481</v>
      </c>
      <c r="AF428" s="1768">
        <v>16.439431131603559</v>
      </c>
      <c r="AG428" s="1768">
        <v>0.34374400592819121</v>
      </c>
      <c r="AH428" s="1768">
        <v>0</v>
      </c>
      <c r="AI428" s="1768">
        <v>0</v>
      </c>
      <c r="AJ428" s="1768">
        <v>0</v>
      </c>
      <c r="AK428" s="1768">
        <v>0</v>
      </c>
      <c r="AL428" s="1768">
        <v>0.736276815876445</v>
      </c>
      <c r="AM428" s="1768"/>
      <c r="AN428" s="1768">
        <v>9.1837003349551985E-2</v>
      </c>
      <c r="AO428" s="1768">
        <v>0</v>
      </c>
      <c r="AP428" s="1768">
        <v>0</v>
      </c>
      <c r="AQ428" s="1768">
        <v>0</v>
      </c>
      <c r="AR428" s="1768">
        <v>0</v>
      </c>
      <c r="AS428" s="1768">
        <v>0</v>
      </c>
      <c r="AT428" s="1768">
        <v>0</v>
      </c>
      <c r="AU428" s="1768">
        <v>0</v>
      </c>
      <c r="AV428" s="1768">
        <v>0</v>
      </c>
      <c r="AW428" s="1768">
        <v>0</v>
      </c>
      <c r="AX428" s="1768">
        <v>0</v>
      </c>
      <c r="AY428" s="1768">
        <v>0</v>
      </c>
      <c r="AZ428" s="1768">
        <v>0</v>
      </c>
      <c r="BA428" s="1768"/>
      <c r="BB428" s="1768">
        <v>0</v>
      </c>
      <c r="BC428" s="1768">
        <v>0</v>
      </c>
      <c r="BD428" s="1768">
        <v>0</v>
      </c>
      <c r="BE428" s="1768">
        <v>0</v>
      </c>
      <c r="BF428" s="1768">
        <v>0</v>
      </c>
      <c r="BG428" s="1768">
        <v>0.16785089437141895</v>
      </c>
      <c r="BH428" s="1768">
        <v>0</v>
      </c>
      <c r="BI428" s="1768">
        <v>0</v>
      </c>
      <c r="BJ428" s="1768">
        <v>0</v>
      </c>
      <c r="BK428" s="1768">
        <v>0</v>
      </c>
      <c r="BL428" s="1768">
        <v>0</v>
      </c>
      <c r="BM428" s="1768"/>
      <c r="BN428" s="1768"/>
      <c r="BO428" s="1768"/>
      <c r="BP428" s="1768"/>
      <c r="BQ428" s="1768"/>
      <c r="BR428" s="1768"/>
      <c r="BS428" s="1768"/>
      <c r="BT428" s="1768"/>
      <c r="BU428" s="1768"/>
      <c r="BV428" s="1768">
        <v>16.607282025974978</v>
      </c>
      <c r="BW428" s="1768"/>
      <c r="BX428" s="1768"/>
      <c r="BY428" s="1768"/>
      <c r="BZ428" s="1768"/>
      <c r="CA428" s="1768"/>
      <c r="CB428" s="1768"/>
      <c r="CC428" s="1768"/>
      <c r="CD428" s="1768"/>
      <c r="CE428" s="1768"/>
      <c r="CF428" s="1768"/>
      <c r="CG428" s="1768"/>
      <c r="CH428" s="1768"/>
      <c r="CI428" s="1768">
        <v>89.933600000000013</v>
      </c>
      <c r="CJ428" s="1768">
        <v>-24.712720000000004</v>
      </c>
      <c r="CK428" s="1768"/>
      <c r="CL428" s="1768"/>
      <c r="CM428" s="1768"/>
      <c r="CN428" s="1768"/>
      <c r="CO428" s="1768">
        <v>-29.051099999999995</v>
      </c>
      <c r="CP428" s="1768">
        <v>2.1200400000000004</v>
      </c>
      <c r="CQ428" s="1768">
        <v>31</v>
      </c>
      <c r="CR428" s="1768">
        <v>2.9191498884028277</v>
      </c>
      <c r="CS428" s="1768">
        <v>0</v>
      </c>
      <c r="CT428" s="1768">
        <v>0</v>
      </c>
      <c r="CU428" s="1768">
        <v>0</v>
      </c>
      <c r="CV428" s="1768">
        <v>0</v>
      </c>
      <c r="CW428" s="1768">
        <v>0</v>
      </c>
      <c r="CX428" s="1768">
        <v>0</v>
      </c>
      <c r="CY428" s="1768">
        <v>0</v>
      </c>
      <c r="CZ428" s="1768">
        <v>1.0006318960103719</v>
      </c>
      <c r="DA428" s="1768">
        <v>0</v>
      </c>
      <c r="DB428" s="1768">
        <v>0</v>
      </c>
      <c r="DC428" s="1768">
        <v>2.1199998361742445</v>
      </c>
      <c r="DD428" s="1768">
        <v>0</v>
      </c>
      <c r="DE428" s="1768">
        <v>0</v>
      </c>
      <c r="DF428" s="1768">
        <v>0</v>
      </c>
      <c r="DG428" s="1768">
        <v>2.1645753172385179E-2</v>
      </c>
      <c r="DH428" s="1768">
        <v>0</v>
      </c>
      <c r="DI428" s="1768">
        <v>-0.19373014689312917</v>
      </c>
      <c r="DJ428" s="1768"/>
      <c r="DK428" s="1768">
        <v>0</v>
      </c>
      <c r="DL428" s="1768">
        <v>0</v>
      </c>
      <c r="DM428" s="1768">
        <v>0</v>
      </c>
      <c r="DN428" s="1768">
        <v>0</v>
      </c>
      <c r="DO428" s="1768">
        <v>-2.3410317891907395E-2</v>
      </c>
      <c r="DP428" s="1768">
        <v>-5.9871321691334495E-3</v>
      </c>
      <c r="DQ428" s="1768">
        <v>0</v>
      </c>
      <c r="DR428" s="1768">
        <v>0</v>
      </c>
      <c r="DS428" s="1768"/>
      <c r="DT428" s="1768"/>
      <c r="DU428" s="1768"/>
      <c r="DV428" s="1768">
        <v>68.031283348527481</v>
      </c>
      <c r="DW428" s="1768">
        <v>0</v>
      </c>
      <c r="DX428" s="1768">
        <v>0</v>
      </c>
      <c r="DY428" s="1768">
        <v>-29.051100000000005</v>
      </c>
      <c r="DZ428" s="1768">
        <v>2.1200399999999995</v>
      </c>
      <c r="EA428" s="1768">
        <v>0</v>
      </c>
      <c r="EB428" s="1768">
        <v>0</v>
      </c>
      <c r="EC428" s="1768">
        <v>-29.850243101939441</v>
      </c>
      <c r="ED428" s="1768">
        <v>0</v>
      </c>
      <c r="EE428" s="1768">
        <v>0</v>
      </c>
      <c r="EF428" s="1768">
        <v>0</v>
      </c>
      <c r="EG428" s="1768">
        <v>0</v>
      </c>
      <c r="EH428" s="1768">
        <v>0</v>
      </c>
      <c r="EI428" s="1768">
        <v>0</v>
      </c>
      <c r="EJ428" s="1768">
        <v>0</v>
      </c>
      <c r="EK428" s="1768">
        <v>0</v>
      </c>
      <c r="EL428" s="1768">
        <v>0</v>
      </c>
      <c r="EM428" s="1768">
        <v>0</v>
      </c>
      <c r="EN428" s="1768">
        <v>0</v>
      </c>
      <c r="EO428" s="1768">
        <v>0</v>
      </c>
      <c r="EP428" s="1768">
        <v>0</v>
      </c>
      <c r="EQ428" s="1768">
        <v>0</v>
      </c>
      <c r="ER428" s="1768">
        <v>0</v>
      </c>
      <c r="ES428" s="1768">
        <v>0</v>
      </c>
      <c r="ET428" s="1768">
        <v>0</v>
      </c>
      <c r="EU428" s="1768">
        <v>0</v>
      </c>
      <c r="EV428" s="1768">
        <v>216</v>
      </c>
      <c r="EW428" s="1768">
        <v>0</v>
      </c>
      <c r="EX428" s="1768">
        <v>0</v>
      </c>
      <c r="EY428" s="1768">
        <v>0</v>
      </c>
      <c r="EZ428" s="1768"/>
      <c r="FA428" s="1768">
        <v>0</v>
      </c>
      <c r="FB428" s="1768"/>
      <c r="FC428" s="1768"/>
      <c r="FD428" s="1768"/>
      <c r="FE428" s="1768"/>
      <c r="FF428" s="1768">
        <v>0</v>
      </c>
      <c r="FG428" s="1768">
        <v>0</v>
      </c>
      <c r="FH428" s="1768">
        <v>0</v>
      </c>
      <c r="FI428" s="1768">
        <v>0</v>
      </c>
    </row>
    <row r="429" spans="1:165">
      <c r="A429" s="1768">
        <v>429</v>
      </c>
      <c r="B429" s="1768" t="s">
        <v>2374</v>
      </c>
      <c r="C429" s="1768" t="s">
        <v>2361</v>
      </c>
      <c r="D429" s="1768" t="s">
        <v>1824</v>
      </c>
      <c r="E429" s="1768" t="s">
        <v>916</v>
      </c>
      <c r="F429" s="1768" t="s">
        <v>1237</v>
      </c>
      <c r="G429" s="1768" t="s">
        <v>1237</v>
      </c>
      <c r="H429" s="1768" t="s">
        <v>1237</v>
      </c>
      <c r="I429" s="1768" t="s">
        <v>2327</v>
      </c>
      <c r="J429" s="1768" t="s">
        <v>2353</v>
      </c>
      <c r="K429" s="1769">
        <v>44774</v>
      </c>
      <c r="L429" s="1768">
        <v>0</v>
      </c>
      <c r="M429" s="1768">
        <v>0</v>
      </c>
      <c r="N429" s="1768">
        <v>0.74099999999999999</v>
      </c>
      <c r="O429" s="1768">
        <v>0.74099999999999999</v>
      </c>
      <c r="P429" s="1768">
        <v>0.74099999999999999</v>
      </c>
      <c r="Q429" s="1768">
        <v>0.74099999999999999</v>
      </c>
      <c r="R429" s="1768"/>
      <c r="S429" s="1768">
        <v>309.91000000000003</v>
      </c>
      <c r="T429" s="1768">
        <v>215.17</v>
      </c>
      <c r="U429" s="1768"/>
      <c r="V429" s="1768">
        <v>389.08428000000004</v>
      </c>
      <c r="W429" s="1768">
        <v>389.08428000000004</v>
      </c>
      <c r="X429" s="1768">
        <v>352.49369999999999</v>
      </c>
      <c r="Y429" s="1768">
        <v>0</v>
      </c>
      <c r="Z429" s="1768">
        <v>45.265169187792715</v>
      </c>
      <c r="AA429" s="1768">
        <v>0</v>
      </c>
      <c r="AB429" s="1768">
        <v>0</v>
      </c>
      <c r="AC429" s="1768">
        <v>0</v>
      </c>
      <c r="AD429" s="1768">
        <v>45.657952770039124</v>
      </c>
      <c r="AE429" s="1768">
        <v>129.25956090599576</v>
      </c>
      <c r="AF429" s="1768">
        <v>156.17459575023381</v>
      </c>
      <c r="AG429" s="1768">
        <v>3.2655680563178162</v>
      </c>
      <c r="AH429" s="1768">
        <v>0</v>
      </c>
      <c r="AI429" s="1768">
        <v>0</v>
      </c>
      <c r="AJ429" s="1768">
        <v>0</v>
      </c>
      <c r="AK429" s="1768">
        <v>0</v>
      </c>
      <c r="AL429" s="1768">
        <v>6.9946297508262276</v>
      </c>
      <c r="AM429" s="1768"/>
      <c r="AN429" s="1768">
        <v>0.87245153182074386</v>
      </c>
      <c r="AO429" s="1768">
        <v>0</v>
      </c>
      <c r="AP429" s="1768">
        <v>0</v>
      </c>
      <c r="AQ429" s="1768">
        <v>0</v>
      </c>
      <c r="AR429" s="1768">
        <v>0</v>
      </c>
      <c r="AS429" s="1768">
        <v>0</v>
      </c>
      <c r="AT429" s="1768">
        <v>0</v>
      </c>
      <c r="AU429" s="1768">
        <v>0</v>
      </c>
      <c r="AV429" s="1768">
        <v>0</v>
      </c>
      <c r="AW429" s="1768">
        <v>0</v>
      </c>
      <c r="AX429" s="1768">
        <v>0</v>
      </c>
      <c r="AY429" s="1768">
        <v>0</v>
      </c>
      <c r="AZ429" s="1768">
        <v>0</v>
      </c>
      <c r="BA429" s="1768"/>
      <c r="BB429" s="1768">
        <v>0</v>
      </c>
      <c r="BC429" s="1768">
        <v>0</v>
      </c>
      <c r="BD429" s="1768">
        <v>0</v>
      </c>
      <c r="BE429" s="1768">
        <v>0</v>
      </c>
      <c r="BF429" s="1768">
        <v>0</v>
      </c>
      <c r="BG429" s="1768">
        <v>1.59458349652848</v>
      </c>
      <c r="BH429" s="1768">
        <v>0</v>
      </c>
      <c r="BI429" s="1768">
        <v>0</v>
      </c>
      <c r="BJ429" s="1768">
        <v>0</v>
      </c>
      <c r="BK429" s="1768">
        <v>0</v>
      </c>
      <c r="BL429" s="1768">
        <v>0</v>
      </c>
      <c r="BM429" s="1768"/>
      <c r="BN429" s="1768"/>
      <c r="BO429" s="1768"/>
      <c r="BP429" s="1768"/>
      <c r="BQ429" s="1768"/>
      <c r="BR429" s="1768"/>
      <c r="BS429" s="1768"/>
      <c r="BT429" s="1768"/>
      <c r="BU429" s="1768"/>
      <c r="BV429" s="1768">
        <v>157.76917924676229</v>
      </c>
      <c r="BW429" s="1768"/>
      <c r="BX429" s="1768"/>
      <c r="BY429" s="1768"/>
      <c r="BZ429" s="1768"/>
      <c r="CA429" s="1768"/>
      <c r="CB429" s="1768"/>
      <c r="CC429" s="1768"/>
      <c r="CD429" s="1768"/>
      <c r="CE429" s="1768"/>
      <c r="CF429" s="1768"/>
      <c r="CG429" s="1768"/>
      <c r="CH429" s="1768"/>
      <c r="CI429" s="1768">
        <v>352.01800000000003</v>
      </c>
      <c r="CJ429" s="1768">
        <v>-37.096279999999979</v>
      </c>
      <c r="CK429" s="1768"/>
      <c r="CL429" s="1768"/>
      <c r="CM429" s="1768"/>
      <c r="CN429" s="1768"/>
      <c r="CO429" s="1768">
        <v>-56.730960000000024</v>
      </c>
      <c r="CP429" s="1768">
        <v>20.140380000000004</v>
      </c>
      <c r="CQ429" s="1768">
        <v>31</v>
      </c>
      <c r="CR429" s="1768">
        <v>20.126304547182087</v>
      </c>
      <c r="CS429" s="1768">
        <v>0</v>
      </c>
      <c r="CT429" s="1768">
        <v>0</v>
      </c>
      <c r="CU429" s="1768">
        <v>0</v>
      </c>
      <c r="CV429" s="1768">
        <v>0</v>
      </c>
      <c r="CW429" s="1768">
        <v>0</v>
      </c>
      <c r="CX429" s="1768">
        <v>0</v>
      </c>
      <c r="CY429" s="1768">
        <v>0</v>
      </c>
      <c r="CZ429" s="1768">
        <v>1.9003836194537129</v>
      </c>
      <c r="DA429" s="1768">
        <v>0</v>
      </c>
      <c r="DB429" s="1768">
        <v>0</v>
      </c>
      <c r="DC429" s="1768">
        <v>20.139998443655344</v>
      </c>
      <c r="DD429" s="1768">
        <v>0</v>
      </c>
      <c r="DE429" s="1768">
        <v>0</v>
      </c>
      <c r="DF429" s="1768">
        <v>0</v>
      </c>
      <c r="DG429" s="1768">
        <v>0.20563465513765933</v>
      </c>
      <c r="DH429" s="1768">
        <v>0</v>
      </c>
      <c r="DI429" s="1768">
        <v>-1.8404363954847298</v>
      </c>
      <c r="DJ429" s="1768"/>
      <c r="DK429" s="1768">
        <v>0</v>
      </c>
      <c r="DL429" s="1768">
        <v>0</v>
      </c>
      <c r="DM429" s="1768">
        <v>0</v>
      </c>
      <c r="DN429" s="1768">
        <v>0</v>
      </c>
      <c r="DO429" s="1768">
        <v>-0.22239801997312103</v>
      </c>
      <c r="DP429" s="1768">
        <v>-5.6877755606767777E-2</v>
      </c>
      <c r="DQ429" s="1768">
        <v>0</v>
      </c>
      <c r="DR429" s="1768">
        <v>0</v>
      </c>
      <c r="DS429" s="1768"/>
      <c r="DT429" s="1768"/>
      <c r="DU429" s="1768"/>
      <c r="DV429" s="1768">
        <v>129.25956090599576</v>
      </c>
      <c r="DW429" s="1768">
        <v>0</v>
      </c>
      <c r="DX429" s="1768">
        <v>0</v>
      </c>
      <c r="DY429" s="1768">
        <v>-56.73096000000001</v>
      </c>
      <c r="DZ429" s="1768">
        <v>20.140379999999993</v>
      </c>
      <c r="EA429" s="1768">
        <v>0</v>
      </c>
      <c r="EB429" s="1768">
        <v>0</v>
      </c>
      <c r="EC429" s="1768">
        <v>-56.715515662507869</v>
      </c>
      <c r="ED429" s="1768">
        <v>0</v>
      </c>
      <c r="EE429" s="1768">
        <v>0</v>
      </c>
      <c r="EF429" s="1768">
        <v>0</v>
      </c>
      <c r="EG429" s="1768">
        <v>0</v>
      </c>
      <c r="EH429" s="1768">
        <v>0</v>
      </c>
      <c r="EI429" s="1768">
        <v>0</v>
      </c>
      <c r="EJ429" s="1768">
        <v>0</v>
      </c>
      <c r="EK429" s="1768">
        <v>0</v>
      </c>
      <c r="EL429" s="1768">
        <v>0</v>
      </c>
      <c r="EM429" s="1768">
        <v>0</v>
      </c>
      <c r="EN429" s="1768">
        <v>0</v>
      </c>
      <c r="EO429" s="1768">
        <v>0</v>
      </c>
      <c r="EP429" s="1768">
        <v>0</v>
      </c>
      <c r="EQ429" s="1768">
        <v>0</v>
      </c>
      <c r="ER429" s="1768">
        <v>0</v>
      </c>
      <c r="ES429" s="1768">
        <v>0</v>
      </c>
      <c r="ET429" s="1768">
        <v>0</v>
      </c>
      <c r="EU429" s="1768">
        <v>0</v>
      </c>
      <c r="EV429" s="1768">
        <v>216</v>
      </c>
      <c r="EW429" s="1768">
        <v>0</v>
      </c>
      <c r="EX429" s="1768">
        <v>0</v>
      </c>
      <c r="EY429" s="1768">
        <v>0</v>
      </c>
      <c r="EZ429" s="1768"/>
      <c r="FA429" s="1768">
        <v>0</v>
      </c>
      <c r="FB429" s="1768"/>
      <c r="FC429" s="1768"/>
      <c r="FD429" s="1768"/>
      <c r="FE429" s="1768"/>
      <c r="FF429" s="1768">
        <v>0</v>
      </c>
      <c r="FG429" s="1768">
        <v>0</v>
      </c>
      <c r="FH429" s="1768">
        <v>0</v>
      </c>
      <c r="FI429" s="1768">
        <v>0</v>
      </c>
    </row>
    <row r="430" spans="1:165">
      <c r="A430" s="1768">
        <v>430</v>
      </c>
      <c r="B430" s="1768" t="s">
        <v>2374</v>
      </c>
      <c r="C430" s="1768" t="s">
        <v>2361</v>
      </c>
      <c r="D430" s="1768" t="s">
        <v>1824</v>
      </c>
      <c r="E430" s="1768" t="s">
        <v>916</v>
      </c>
      <c r="F430" s="1768" t="s">
        <v>1237</v>
      </c>
      <c r="G430" s="1768" t="s">
        <v>1237</v>
      </c>
      <c r="H430" s="1768" t="s">
        <v>1237</v>
      </c>
      <c r="I430" s="1768" t="s">
        <v>1237</v>
      </c>
      <c r="J430" s="1768" t="s">
        <v>2353</v>
      </c>
      <c r="K430" s="1769">
        <v>44774</v>
      </c>
      <c r="L430" s="1768">
        <v>0</v>
      </c>
      <c r="M430" s="1768">
        <v>0</v>
      </c>
      <c r="N430" s="1768">
        <v>0</v>
      </c>
      <c r="O430" s="1768">
        <v>0</v>
      </c>
      <c r="P430" s="1768">
        <v>0</v>
      </c>
      <c r="Q430" s="1768">
        <v>0</v>
      </c>
      <c r="R430" s="1768"/>
      <c r="S430" s="1768"/>
      <c r="T430" s="1768"/>
      <c r="U430" s="1768"/>
      <c r="V430" s="1768"/>
      <c r="W430" s="1768"/>
      <c r="X430" s="1768"/>
      <c r="Y430" s="1768"/>
      <c r="Z430" s="1768"/>
      <c r="AA430" s="1768">
        <v>0</v>
      </c>
      <c r="AB430" s="1768"/>
      <c r="AC430" s="1768"/>
      <c r="AD430" s="1768"/>
      <c r="AE430" s="1768"/>
      <c r="AF430" s="1768"/>
      <c r="AG430" s="1768"/>
      <c r="AH430" s="1768"/>
      <c r="AI430" s="1768"/>
      <c r="AJ430" s="1768"/>
      <c r="AK430" s="1768"/>
      <c r="AL430" s="1768"/>
      <c r="AM430" s="1768"/>
      <c r="AN430" s="1768"/>
      <c r="AO430" s="1768"/>
      <c r="AP430" s="1768"/>
      <c r="AQ430" s="1768"/>
      <c r="AR430" s="1768"/>
      <c r="AS430" s="1768"/>
      <c r="AT430" s="1768"/>
      <c r="AU430" s="1768"/>
      <c r="AV430" s="1768"/>
      <c r="AW430" s="1768"/>
      <c r="AX430" s="1768"/>
      <c r="AY430" s="1768"/>
      <c r="AZ430" s="1768">
        <v>0</v>
      </c>
      <c r="BA430" s="1768"/>
      <c r="BB430" s="1768"/>
      <c r="BC430" s="1768"/>
      <c r="BD430" s="1768"/>
      <c r="BE430" s="1768"/>
      <c r="BF430" s="1768"/>
      <c r="BG430" s="1768"/>
      <c r="BH430" s="1768"/>
      <c r="BI430" s="1768">
        <v>0</v>
      </c>
      <c r="BJ430" s="1768">
        <v>0</v>
      </c>
      <c r="BK430" s="1768">
        <v>98.68</v>
      </c>
      <c r="BL430" s="1768">
        <v>1</v>
      </c>
      <c r="BM430" s="1768"/>
      <c r="BN430" s="1768"/>
      <c r="BO430" s="1768"/>
      <c r="BP430" s="1768"/>
      <c r="BQ430" s="1768"/>
      <c r="BR430" s="1768"/>
      <c r="BS430" s="1768"/>
      <c r="BT430" s="1768"/>
      <c r="BU430" s="1768"/>
      <c r="BV430" s="1768"/>
      <c r="BW430" s="1768"/>
      <c r="BX430" s="1768"/>
      <c r="BY430" s="1768"/>
      <c r="BZ430" s="1768"/>
      <c r="CA430" s="1768"/>
      <c r="CB430" s="1768"/>
      <c r="CC430" s="1768"/>
      <c r="CD430" s="1768"/>
      <c r="CE430" s="1768"/>
      <c r="CF430" s="1768"/>
      <c r="CG430" s="1768"/>
      <c r="CH430" s="1768"/>
      <c r="CI430" s="1768"/>
      <c r="CJ430" s="1768">
        <v>-0.03</v>
      </c>
      <c r="CK430" s="1768"/>
      <c r="CL430" s="1768"/>
      <c r="CM430" s="1768"/>
      <c r="CN430" s="1768"/>
      <c r="CO430" s="1768">
        <v>0</v>
      </c>
      <c r="CP430" s="1768">
        <v>0</v>
      </c>
      <c r="CQ430" s="1768">
        <v>31</v>
      </c>
      <c r="CR430" s="1768"/>
      <c r="CS430" s="1768"/>
      <c r="CT430" s="1768"/>
      <c r="CU430" s="1768"/>
      <c r="CV430" s="1768"/>
      <c r="CW430" s="1768"/>
      <c r="CX430" s="1768"/>
      <c r="CY430" s="1768"/>
      <c r="CZ430" s="1768"/>
      <c r="DA430" s="1768"/>
      <c r="DB430" s="1768"/>
      <c r="DC430" s="1768"/>
      <c r="DD430" s="1768"/>
      <c r="DE430" s="1768"/>
      <c r="DF430" s="1768"/>
      <c r="DG430" s="1768"/>
      <c r="DH430" s="1768"/>
      <c r="DI430" s="1768"/>
      <c r="DJ430" s="1768"/>
      <c r="DK430" s="1768">
        <v>0</v>
      </c>
      <c r="DL430" s="1768"/>
      <c r="DM430" s="1768"/>
      <c r="DN430" s="1768"/>
      <c r="DO430" s="1768"/>
      <c r="DP430" s="1768"/>
      <c r="DQ430" s="1768"/>
      <c r="DR430" s="1768"/>
      <c r="DS430" s="1768"/>
      <c r="DT430" s="1768"/>
      <c r="DU430" s="1768"/>
      <c r="DV430" s="1768"/>
      <c r="DW430" s="1768"/>
      <c r="DX430" s="1768"/>
      <c r="DY430" s="1768"/>
      <c r="DZ430" s="1768"/>
      <c r="EA430" s="1768"/>
      <c r="EB430" s="1768"/>
      <c r="EC430" s="1768"/>
      <c r="ED430" s="1768"/>
      <c r="EE430" s="1768"/>
      <c r="EF430" s="1768"/>
      <c r="EG430" s="1768"/>
      <c r="EH430" s="1768"/>
      <c r="EI430" s="1768"/>
      <c r="EJ430" s="1768"/>
      <c r="EK430" s="1768"/>
      <c r="EL430" s="1768"/>
      <c r="EM430" s="1768"/>
      <c r="EN430" s="1768"/>
      <c r="EO430" s="1768"/>
      <c r="EP430" s="1768"/>
      <c r="EQ430" s="1768"/>
      <c r="ER430" s="1768"/>
      <c r="ES430" s="1768"/>
      <c r="ET430" s="1768"/>
      <c r="EU430" s="1768"/>
      <c r="EV430" s="1768">
        <v>216</v>
      </c>
      <c r="EW430" s="1768"/>
      <c r="EX430" s="1768"/>
      <c r="EY430" s="1768"/>
      <c r="EZ430" s="1768"/>
      <c r="FA430" s="1768">
        <v>0</v>
      </c>
      <c r="FB430" s="1768"/>
      <c r="FC430" s="1768"/>
      <c r="FD430" s="1768"/>
      <c r="FE430" s="1768"/>
      <c r="FF430" s="1768">
        <v>0</v>
      </c>
      <c r="FG430" s="1768">
        <v>0</v>
      </c>
      <c r="FH430" s="1768">
        <v>0</v>
      </c>
      <c r="FI430" s="1768">
        <v>0</v>
      </c>
    </row>
    <row r="431" spans="1:165">
      <c r="A431" s="1768">
        <v>431</v>
      </c>
      <c r="B431" s="1768" t="s">
        <v>2374</v>
      </c>
      <c r="C431" s="1768" t="s">
        <v>2361</v>
      </c>
      <c r="D431" s="1768" t="s">
        <v>1824</v>
      </c>
      <c r="E431" s="1768" t="s">
        <v>916</v>
      </c>
      <c r="F431" s="1768" t="s">
        <v>1237</v>
      </c>
      <c r="G431" s="1768" t="s">
        <v>1237</v>
      </c>
      <c r="H431" s="1768" t="s">
        <v>1237</v>
      </c>
      <c r="I431" s="1768" t="s">
        <v>2362</v>
      </c>
      <c r="J431" s="1768" t="s">
        <v>2353</v>
      </c>
      <c r="K431" s="1769">
        <v>44774</v>
      </c>
      <c r="L431" s="1768">
        <v>0</v>
      </c>
      <c r="M431" s="1768">
        <v>0</v>
      </c>
      <c r="N431" s="1768">
        <v>5.1999999999999998E-2</v>
      </c>
      <c r="O431" s="1768">
        <v>5.1999999999999998E-2</v>
      </c>
      <c r="P431" s="1768">
        <v>5.1999999999999998E-2</v>
      </c>
      <c r="Q431" s="1768">
        <v>5.1999999999999998E-2</v>
      </c>
      <c r="R431" s="1768"/>
      <c r="S431" s="1768">
        <v>782.07</v>
      </c>
      <c r="T431" s="1768">
        <v>215.17</v>
      </c>
      <c r="U431" s="1768"/>
      <c r="V431" s="1768">
        <v>51.856479999999998</v>
      </c>
      <c r="W431" s="1768">
        <v>51.856479999999998</v>
      </c>
      <c r="X431" s="1768">
        <v>41.595320000000001</v>
      </c>
      <c r="Y431" s="1768">
        <v>0</v>
      </c>
      <c r="Z431" s="1768">
        <v>3.1765031008977345</v>
      </c>
      <c r="AA431" s="1768">
        <v>0</v>
      </c>
      <c r="AB431" s="1768">
        <v>0</v>
      </c>
      <c r="AC431" s="1768">
        <v>0</v>
      </c>
      <c r="AD431" s="1768">
        <v>9.6144963196870119</v>
      </c>
      <c r="AE431" s="1768">
        <v>27.212509039628795</v>
      </c>
      <c r="AF431" s="1768">
        <v>10.959620754402373</v>
      </c>
      <c r="AG431" s="1768">
        <v>0.22916267061879411</v>
      </c>
      <c r="AH431" s="1768">
        <v>0</v>
      </c>
      <c r="AI431" s="1768">
        <v>0</v>
      </c>
      <c r="AJ431" s="1768">
        <v>0</v>
      </c>
      <c r="AK431" s="1768">
        <v>0</v>
      </c>
      <c r="AL431" s="1768">
        <v>0.49085121058429665</v>
      </c>
      <c r="AM431" s="1768"/>
      <c r="AN431" s="1768">
        <v>6.1224668899701316E-2</v>
      </c>
      <c r="AO431" s="1768">
        <v>0</v>
      </c>
      <c r="AP431" s="1768">
        <v>0</v>
      </c>
      <c r="AQ431" s="1768">
        <v>0</v>
      </c>
      <c r="AR431" s="1768">
        <v>0</v>
      </c>
      <c r="AS431" s="1768">
        <v>0</v>
      </c>
      <c r="AT431" s="1768">
        <v>0</v>
      </c>
      <c r="AU431" s="1768">
        <v>0</v>
      </c>
      <c r="AV431" s="1768">
        <v>0</v>
      </c>
      <c r="AW431" s="1768">
        <v>0</v>
      </c>
      <c r="AX431" s="1768">
        <v>0</v>
      </c>
      <c r="AY431" s="1768">
        <v>0</v>
      </c>
      <c r="AZ431" s="1768">
        <v>0</v>
      </c>
      <c r="BA431" s="1768"/>
      <c r="BB431" s="1768">
        <v>0</v>
      </c>
      <c r="BC431" s="1768">
        <v>0</v>
      </c>
      <c r="BD431" s="1768">
        <v>0</v>
      </c>
      <c r="BE431" s="1768">
        <v>0</v>
      </c>
      <c r="BF431" s="1768">
        <v>0</v>
      </c>
      <c r="BG431" s="1768">
        <v>0.11190059624761263</v>
      </c>
      <c r="BH431" s="1768">
        <v>0</v>
      </c>
      <c r="BI431" s="1768">
        <v>0</v>
      </c>
      <c r="BJ431" s="1768">
        <v>0</v>
      </c>
      <c r="BK431" s="1768">
        <v>0</v>
      </c>
      <c r="BL431" s="1768">
        <v>0</v>
      </c>
      <c r="BM431" s="1768"/>
      <c r="BN431" s="1768"/>
      <c r="BO431" s="1768"/>
      <c r="BP431" s="1768"/>
      <c r="BQ431" s="1768"/>
      <c r="BR431" s="1768"/>
      <c r="BS431" s="1768"/>
      <c r="BT431" s="1768"/>
      <c r="BU431" s="1768"/>
      <c r="BV431" s="1768">
        <v>11.071521350649986</v>
      </c>
      <c r="BW431" s="1768"/>
      <c r="BX431" s="1768"/>
      <c r="BY431" s="1768"/>
      <c r="BZ431" s="1768"/>
      <c r="CA431" s="1768"/>
      <c r="CB431" s="1768"/>
      <c r="CC431" s="1768"/>
      <c r="CD431" s="1768"/>
      <c r="CE431" s="1768"/>
      <c r="CF431" s="1768"/>
      <c r="CG431" s="1768"/>
      <c r="CH431" s="1768"/>
      <c r="CI431" s="1768">
        <v>39.9955</v>
      </c>
      <c r="CJ431" s="1768">
        <v>-11.890979999999992</v>
      </c>
      <c r="CK431" s="1768"/>
      <c r="CL431" s="1768"/>
      <c r="CM431" s="1768"/>
      <c r="CN431" s="1768"/>
      <c r="CO431" s="1768">
        <v>-11.674520000000005</v>
      </c>
      <c r="CP431" s="1768">
        <v>1.4133600000000004</v>
      </c>
      <c r="CQ431" s="1768">
        <v>31</v>
      </c>
      <c r="CR431" s="1768">
        <v>1.6791883104818162</v>
      </c>
      <c r="CS431" s="1768">
        <v>0</v>
      </c>
      <c r="CT431" s="1768">
        <v>0</v>
      </c>
      <c r="CU431" s="1768">
        <v>0</v>
      </c>
      <c r="CV431" s="1768">
        <v>0</v>
      </c>
      <c r="CW431" s="1768">
        <v>0</v>
      </c>
      <c r="CX431" s="1768">
        <v>0</v>
      </c>
      <c r="CY431" s="1768">
        <v>0</v>
      </c>
      <c r="CZ431" s="1768">
        <v>0.40017631555350874</v>
      </c>
      <c r="DA431" s="1768">
        <v>0</v>
      </c>
      <c r="DB431" s="1768">
        <v>0</v>
      </c>
      <c r="DC431" s="1768">
        <v>1.4133332241161636</v>
      </c>
      <c r="DD431" s="1768">
        <v>0</v>
      </c>
      <c r="DE431" s="1768">
        <v>0</v>
      </c>
      <c r="DF431" s="1768">
        <v>0</v>
      </c>
      <c r="DG431" s="1768">
        <v>1.4430502114923457E-2</v>
      </c>
      <c r="DH431" s="1768">
        <v>0</v>
      </c>
      <c r="DI431" s="1768">
        <v>-0.12915343126208656</v>
      </c>
      <c r="DJ431" s="1768"/>
      <c r="DK431" s="1768">
        <v>0</v>
      </c>
      <c r="DL431" s="1768">
        <v>0</v>
      </c>
      <c r="DM431" s="1768">
        <v>0</v>
      </c>
      <c r="DN431" s="1768">
        <v>0</v>
      </c>
      <c r="DO431" s="1768">
        <v>-1.5606878594604967E-2</v>
      </c>
      <c r="DP431" s="1768">
        <v>-3.9914214460889663E-3</v>
      </c>
      <c r="DQ431" s="1768">
        <v>0</v>
      </c>
      <c r="DR431" s="1768">
        <v>0</v>
      </c>
      <c r="DS431" s="1768"/>
      <c r="DT431" s="1768"/>
      <c r="DU431" s="1768"/>
      <c r="DV431" s="1768">
        <v>27.212509039628795</v>
      </c>
      <c r="DW431" s="1768">
        <v>0</v>
      </c>
      <c r="DX431" s="1768">
        <v>0</v>
      </c>
      <c r="DY431" s="1768">
        <v>-11.674520000000001</v>
      </c>
      <c r="DZ431" s="1768">
        <v>1.4133600000000008</v>
      </c>
      <c r="EA431" s="1768">
        <v>0</v>
      </c>
      <c r="EB431" s="1768">
        <v>0</v>
      </c>
      <c r="EC431" s="1768">
        <v>-11.940095354150445</v>
      </c>
      <c r="ED431" s="1768">
        <v>0</v>
      </c>
      <c r="EE431" s="1768">
        <v>0</v>
      </c>
      <c r="EF431" s="1768">
        <v>0</v>
      </c>
      <c r="EG431" s="1768">
        <v>0</v>
      </c>
      <c r="EH431" s="1768">
        <v>0</v>
      </c>
      <c r="EI431" s="1768">
        <v>0</v>
      </c>
      <c r="EJ431" s="1768">
        <v>0</v>
      </c>
      <c r="EK431" s="1768">
        <v>0</v>
      </c>
      <c r="EL431" s="1768">
        <v>0</v>
      </c>
      <c r="EM431" s="1768">
        <v>0</v>
      </c>
      <c r="EN431" s="1768">
        <v>0</v>
      </c>
      <c r="EO431" s="1768">
        <v>0</v>
      </c>
      <c r="EP431" s="1768">
        <v>0</v>
      </c>
      <c r="EQ431" s="1768">
        <v>0</v>
      </c>
      <c r="ER431" s="1768">
        <v>0</v>
      </c>
      <c r="ES431" s="1768">
        <v>0</v>
      </c>
      <c r="ET431" s="1768">
        <v>0</v>
      </c>
      <c r="EU431" s="1768">
        <v>0</v>
      </c>
      <c r="EV431" s="1768">
        <v>216</v>
      </c>
      <c r="EW431" s="1768">
        <v>0</v>
      </c>
      <c r="EX431" s="1768">
        <v>0</v>
      </c>
      <c r="EY431" s="1768">
        <v>0</v>
      </c>
      <c r="EZ431" s="1768"/>
      <c r="FA431" s="1768">
        <v>0</v>
      </c>
      <c r="FB431" s="1768"/>
      <c r="FC431" s="1768"/>
      <c r="FD431" s="1768"/>
      <c r="FE431" s="1768"/>
      <c r="FF431" s="1768">
        <v>0</v>
      </c>
      <c r="FG431" s="1768">
        <v>0</v>
      </c>
      <c r="FH431" s="1768">
        <v>0</v>
      </c>
      <c r="FI431" s="1768">
        <v>0</v>
      </c>
    </row>
    <row r="432" spans="1:165">
      <c r="A432" s="1768">
        <v>432</v>
      </c>
      <c r="B432" s="1768" t="s">
        <v>2374</v>
      </c>
      <c r="C432" s="1768" t="s">
        <v>2352</v>
      </c>
      <c r="D432" s="1768" t="s">
        <v>2363</v>
      </c>
      <c r="E432" s="1768" t="s">
        <v>892</v>
      </c>
      <c r="F432" s="1768" t="s">
        <v>1237</v>
      </c>
      <c r="G432" s="1768" t="s">
        <v>1237</v>
      </c>
      <c r="H432" s="1768" t="s">
        <v>1237</v>
      </c>
      <c r="I432" s="1768" t="s">
        <v>1237</v>
      </c>
      <c r="J432" s="1768" t="s">
        <v>2353</v>
      </c>
      <c r="K432" s="1769">
        <v>44774</v>
      </c>
      <c r="L432" s="1768">
        <v>0</v>
      </c>
      <c r="M432" s="1768">
        <v>0</v>
      </c>
      <c r="N432" s="1768">
        <v>348.16500000000002</v>
      </c>
      <c r="O432" s="1768">
        <v>348.16500000000002</v>
      </c>
      <c r="P432" s="1768">
        <v>348.16500000000002</v>
      </c>
      <c r="Q432" s="1768">
        <v>348.16500000000002</v>
      </c>
      <c r="R432" s="1768"/>
      <c r="S432" s="1768">
        <v>415.98</v>
      </c>
      <c r="T432" s="1768">
        <v>215.17</v>
      </c>
      <c r="U432" s="1768"/>
      <c r="V432" s="1768">
        <v>219744.33975000001</v>
      </c>
      <c r="W432" s="1768">
        <v>219744.33975000001</v>
      </c>
      <c r="X432" s="1768">
        <v>190982.42910000001</v>
      </c>
      <c r="Y432" s="1768">
        <v>0</v>
      </c>
      <c r="Z432" s="1768">
        <v>21268.215425462688</v>
      </c>
      <c r="AA432" s="1768">
        <v>0</v>
      </c>
      <c r="AB432" s="1768">
        <v>0</v>
      </c>
      <c r="AC432" s="1768">
        <v>0</v>
      </c>
      <c r="AD432" s="1768">
        <v>31096.558007246607</v>
      </c>
      <c r="AE432" s="1768">
        <v>88019.764876427653</v>
      </c>
      <c r="AF432" s="1768">
        <v>73379.929999163505</v>
      </c>
      <c r="AG432" s="1768">
        <v>1534.3542541537013</v>
      </c>
      <c r="AH432" s="1768">
        <v>0</v>
      </c>
      <c r="AI432" s="1768">
        <v>0</v>
      </c>
      <c r="AJ432" s="1768">
        <v>0</v>
      </c>
      <c r="AK432" s="1768">
        <v>0</v>
      </c>
      <c r="AL432" s="1768">
        <v>3286.484841020801</v>
      </c>
      <c r="AM432" s="1768"/>
      <c r="AN432" s="1768">
        <v>409.92859322047138</v>
      </c>
      <c r="AO432" s="1768">
        <v>0</v>
      </c>
      <c r="AP432" s="1768">
        <v>0</v>
      </c>
      <c r="AQ432" s="1768">
        <v>0</v>
      </c>
      <c r="AR432" s="1768">
        <v>0</v>
      </c>
      <c r="AS432" s="1768">
        <v>0</v>
      </c>
      <c r="AT432" s="1768">
        <v>0</v>
      </c>
      <c r="AU432" s="1768">
        <v>0</v>
      </c>
      <c r="AV432" s="1768">
        <v>0</v>
      </c>
      <c r="AW432" s="1768">
        <v>0</v>
      </c>
      <c r="AX432" s="1768">
        <v>0</v>
      </c>
      <c r="AY432" s="1768">
        <v>0</v>
      </c>
      <c r="AZ432" s="1768">
        <v>0</v>
      </c>
      <c r="BA432" s="1768"/>
      <c r="BB432" s="1768">
        <v>0</v>
      </c>
      <c r="BC432" s="1768">
        <v>0</v>
      </c>
      <c r="BD432" s="1768">
        <v>0</v>
      </c>
      <c r="BE432" s="1768">
        <v>0</v>
      </c>
      <c r="BF432" s="1768">
        <v>0</v>
      </c>
      <c r="BG432" s="1768">
        <v>749.22829024134717</v>
      </c>
      <c r="BH432" s="1768">
        <v>0</v>
      </c>
      <c r="BI432" s="1768">
        <v>0</v>
      </c>
      <c r="BJ432" s="1768">
        <v>0</v>
      </c>
      <c r="BK432" s="1768">
        <v>28571.08</v>
      </c>
      <c r="BL432" s="1768">
        <v>1534</v>
      </c>
      <c r="BM432" s="1768"/>
      <c r="BN432" s="1768"/>
      <c r="BO432" s="1768"/>
      <c r="BP432" s="1768"/>
      <c r="BQ432" s="1768"/>
      <c r="BR432" s="1768">
        <v>22916.220300000001</v>
      </c>
      <c r="BS432" s="1768"/>
      <c r="BT432" s="1768"/>
      <c r="BU432" s="1768"/>
      <c r="BV432" s="1768">
        <v>74129.158289404848</v>
      </c>
      <c r="BW432" s="1768"/>
      <c r="BX432" s="1768"/>
      <c r="BY432" s="1768"/>
      <c r="BZ432" s="1768"/>
      <c r="CA432" s="1768"/>
      <c r="CB432" s="1768"/>
      <c r="CC432" s="1768"/>
      <c r="CD432" s="1768"/>
      <c r="CE432" s="1768"/>
      <c r="CF432" s="1768"/>
      <c r="CG432" s="1768"/>
      <c r="CH432" s="1768"/>
      <c r="CI432" s="1768">
        <v>168068.62239999999</v>
      </c>
      <c r="CJ432" s="1768">
        <v>-25305.730250000022</v>
      </c>
      <c r="CK432" s="1768"/>
      <c r="CL432" s="1768"/>
      <c r="CM432" s="1768"/>
      <c r="CN432" s="1768"/>
      <c r="CO432" s="1768">
        <v>-38225.035350000013</v>
      </c>
      <c r="CP432" s="1768">
        <v>9463.1247000000021</v>
      </c>
      <c r="CQ432" s="1768">
        <v>31</v>
      </c>
      <c r="CR432" s="1768">
        <v>9857.9068122766039</v>
      </c>
      <c r="CS432" s="1768">
        <v>0</v>
      </c>
      <c r="CT432" s="1768">
        <v>0</v>
      </c>
      <c r="CU432" s="1768">
        <v>0</v>
      </c>
      <c r="CV432" s="1768">
        <v>0</v>
      </c>
      <c r="CW432" s="1768">
        <v>0</v>
      </c>
      <c r="CX432" s="1768">
        <v>0</v>
      </c>
      <c r="CY432" s="1768">
        <v>0</v>
      </c>
      <c r="CZ432" s="1768">
        <v>1294.3065966186259</v>
      </c>
      <c r="DA432" s="1768">
        <v>0</v>
      </c>
      <c r="DB432" s="1768">
        <v>0</v>
      </c>
      <c r="DC432" s="1768">
        <v>9462.9454225847003</v>
      </c>
      <c r="DD432" s="1768">
        <v>0</v>
      </c>
      <c r="DE432" s="1768">
        <v>0</v>
      </c>
      <c r="DF432" s="1768">
        <v>0</v>
      </c>
      <c r="DG432" s="1768">
        <v>96.619149400813967</v>
      </c>
      <c r="DH432" s="1768">
        <v>0</v>
      </c>
      <c r="DI432" s="1768">
        <v>-864.74431529546564</v>
      </c>
      <c r="DJ432" s="1768"/>
      <c r="DK432" s="1768">
        <v>0</v>
      </c>
      <c r="DL432" s="1768">
        <v>0</v>
      </c>
      <c r="DM432" s="1768">
        <v>0</v>
      </c>
      <c r="DN432" s="1768">
        <v>0</v>
      </c>
      <c r="DO432" s="1768">
        <v>-104.49555549789693</v>
      </c>
      <c r="DP432" s="1768">
        <v>-26.724485534183941</v>
      </c>
      <c r="DQ432" s="1768">
        <v>0</v>
      </c>
      <c r="DR432" s="1768">
        <v>0</v>
      </c>
      <c r="DS432" s="1768"/>
      <c r="DT432" s="1768"/>
      <c r="DU432" s="1768"/>
      <c r="DV432" s="1768">
        <v>88019.764876427653</v>
      </c>
      <c r="DW432" s="1768">
        <v>0</v>
      </c>
      <c r="DX432" s="1768">
        <v>0</v>
      </c>
      <c r="DY432" s="1768">
        <v>-38225.035350000006</v>
      </c>
      <c r="DZ432" s="1768">
        <v>9463.1247000000003</v>
      </c>
      <c r="EA432" s="1768">
        <v>0</v>
      </c>
      <c r="EB432" s="1768">
        <v>0</v>
      </c>
      <c r="EC432" s="1768">
        <v>-38620.635243297773</v>
      </c>
      <c r="ED432" s="1768">
        <v>0</v>
      </c>
      <c r="EE432" s="1768">
        <v>0</v>
      </c>
      <c r="EF432" s="1768">
        <v>0</v>
      </c>
      <c r="EG432" s="1768">
        <v>0</v>
      </c>
      <c r="EH432" s="1768">
        <v>0</v>
      </c>
      <c r="EI432" s="1768">
        <v>0</v>
      </c>
      <c r="EJ432" s="1768">
        <v>0</v>
      </c>
      <c r="EK432" s="1768">
        <v>0</v>
      </c>
      <c r="EL432" s="1768">
        <v>0</v>
      </c>
      <c r="EM432" s="1768">
        <v>0</v>
      </c>
      <c r="EN432" s="1768">
        <v>0</v>
      </c>
      <c r="EO432" s="1768">
        <v>0</v>
      </c>
      <c r="EP432" s="1768">
        <v>0</v>
      </c>
      <c r="EQ432" s="1768">
        <v>0</v>
      </c>
      <c r="ER432" s="1768">
        <v>0</v>
      </c>
      <c r="ES432" s="1768">
        <v>0</v>
      </c>
      <c r="ET432" s="1768">
        <v>0</v>
      </c>
      <c r="EU432" s="1768">
        <v>0</v>
      </c>
      <c r="EV432" s="1768">
        <v>216</v>
      </c>
      <c r="EW432" s="1768">
        <v>0</v>
      </c>
      <c r="EX432" s="1768">
        <v>0</v>
      </c>
      <c r="EY432" s="1768">
        <v>0</v>
      </c>
      <c r="EZ432" s="1768"/>
      <c r="FA432" s="1768">
        <v>0</v>
      </c>
      <c r="FB432" s="1768"/>
      <c r="FC432" s="1768"/>
      <c r="FD432" s="1768"/>
      <c r="FE432" s="1768"/>
      <c r="FF432" s="1768">
        <v>0</v>
      </c>
      <c r="FG432" s="1768">
        <v>0</v>
      </c>
      <c r="FH432" s="1768">
        <v>0</v>
      </c>
      <c r="FI432" s="1768">
        <v>0</v>
      </c>
    </row>
    <row r="433" spans="1:165">
      <c r="A433" s="1768">
        <v>433</v>
      </c>
      <c r="B433" s="1768" t="s">
        <v>2374</v>
      </c>
      <c r="C433" s="1768" t="s">
        <v>2352</v>
      </c>
      <c r="D433" s="1768" t="s">
        <v>2363</v>
      </c>
      <c r="E433" s="1768" t="s">
        <v>892</v>
      </c>
      <c r="F433" s="1768" t="s">
        <v>1237</v>
      </c>
      <c r="G433" s="1768" t="s">
        <v>1237</v>
      </c>
      <c r="H433" s="1768" t="s">
        <v>1237</v>
      </c>
      <c r="I433" s="1768" t="s">
        <v>1237</v>
      </c>
      <c r="J433" s="1768" t="s">
        <v>2353</v>
      </c>
      <c r="K433" s="1769">
        <v>44774</v>
      </c>
      <c r="L433" s="1768">
        <v>0</v>
      </c>
      <c r="M433" s="1768">
        <v>0</v>
      </c>
      <c r="N433" s="1768">
        <v>-3.19</v>
      </c>
      <c r="O433" s="1768">
        <v>-3.19</v>
      </c>
      <c r="P433" s="1768">
        <v>-3.19</v>
      </c>
      <c r="Q433" s="1768">
        <v>-3.19</v>
      </c>
      <c r="R433" s="1768"/>
      <c r="S433" s="1768">
        <v>415.98</v>
      </c>
      <c r="T433" s="1768">
        <v>215.17</v>
      </c>
      <c r="U433" s="1768"/>
      <c r="V433" s="1768">
        <v>-2013.3685</v>
      </c>
      <c r="W433" s="1768">
        <v>-2013.3685</v>
      </c>
      <c r="X433" s="1768">
        <v>-1749.8425999999999</v>
      </c>
      <c r="Y433" s="1768">
        <v>0</v>
      </c>
      <c r="Z433" s="1768">
        <v>-194.86624792045717</v>
      </c>
      <c r="AA433" s="1768">
        <v>0</v>
      </c>
      <c r="AB433" s="1768">
        <v>0</v>
      </c>
      <c r="AC433" s="1768">
        <v>0</v>
      </c>
      <c r="AD433" s="1768">
        <v>-284.91669192226868</v>
      </c>
      <c r="AE433" s="1768">
        <v>-806.46546883174415</v>
      </c>
      <c r="AF433" s="1768">
        <v>-672.33058089506858</v>
      </c>
      <c r="AG433" s="1768">
        <v>-14.058248447576023</v>
      </c>
      <c r="AH433" s="1768">
        <v>0</v>
      </c>
      <c r="AI433" s="1768">
        <v>0</v>
      </c>
      <c r="AJ433" s="1768">
        <v>0</v>
      </c>
      <c r="AK433" s="1768">
        <v>0</v>
      </c>
      <c r="AL433" s="1768">
        <v>-30.111833880075121</v>
      </c>
      <c r="AM433" s="1768"/>
      <c r="AN433" s="1768">
        <v>-3.7558979575009079</v>
      </c>
      <c r="AO433" s="1768">
        <v>0</v>
      </c>
      <c r="AP433" s="1768">
        <v>0</v>
      </c>
      <c r="AQ433" s="1768">
        <v>0</v>
      </c>
      <c r="AR433" s="1768">
        <v>0</v>
      </c>
      <c r="AS433" s="1768">
        <v>0</v>
      </c>
      <c r="AT433" s="1768">
        <v>0</v>
      </c>
      <c r="AU433" s="1768">
        <v>0</v>
      </c>
      <c r="AV433" s="1768">
        <v>0</v>
      </c>
      <c r="AW433" s="1768">
        <v>0</v>
      </c>
      <c r="AX433" s="1768">
        <v>0</v>
      </c>
      <c r="AY433" s="1768">
        <v>0</v>
      </c>
      <c r="AZ433" s="1768">
        <v>0</v>
      </c>
      <c r="BA433" s="1768"/>
      <c r="BB433" s="1768">
        <v>0</v>
      </c>
      <c r="BC433" s="1768">
        <v>0</v>
      </c>
      <c r="BD433" s="1768">
        <v>0</v>
      </c>
      <c r="BE433" s="1768">
        <v>0</v>
      </c>
      <c r="BF433" s="1768">
        <v>0</v>
      </c>
      <c r="BG433" s="1768">
        <v>-6.8646711928823905</v>
      </c>
      <c r="BH433" s="1768">
        <v>0</v>
      </c>
      <c r="BI433" s="1768">
        <v>0</v>
      </c>
      <c r="BJ433" s="1768">
        <v>0</v>
      </c>
      <c r="BK433" s="1768">
        <v>-583.28</v>
      </c>
      <c r="BL433" s="1768">
        <v>0</v>
      </c>
      <c r="BM433" s="1768"/>
      <c r="BN433" s="1768"/>
      <c r="BO433" s="1768"/>
      <c r="BP433" s="1768"/>
      <c r="BQ433" s="1768"/>
      <c r="BR433" s="1768">
        <v>-209.96579999999997</v>
      </c>
      <c r="BS433" s="1768"/>
      <c r="BT433" s="1768"/>
      <c r="BU433" s="1768"/>
      <c r="BV433" s="1768">
        <v>-679.19525208795096</v>
      </c>
      <c r="BW433" s="1768"/>
      <c r="BX433" s="1768"/>
      <c r="BY433" s="1768"/>
      <c r="BZ433" s="1768"/>
      <c r="CA433" s="1768"/>
      <c r="CB433" s="1768"/>
      <c r="CC433" s="1768"/>
      <c r="CD433" s="1768"/>
      <c r="CE433" s="1768"/>
      <c r="CF433" s="1768"/>
      <c r="CG433" s="1768"/>
      <c r="CH433" s="1768"/>
      <c r="CI433" s="1768">
        <v>-1539.8768</v>
      </c>
      <c r="CJ433" s="1768">
        <v>231.85109999999986</v>
      </c>
      <c r="CK433" s="1768"/>
      <c r="CL433" s="1768"/>
      <c r="CM433" s="1768"/>
      <c r="CN433" s="1768"/>
      <c r="CO433" s="1768">
        <v>350.23010000000005</v>
      </c>
      <c r="CP433" s="1768">
        <v>-86.704200000000014</v>
      </c>
      <c r="CQ433" s="1768">
        <v>31</v>
      </c>
      <c r="CR433" s="1768">
        <v>-90.321321014927207</v>
      </c>
      <c r="CS433" s="1768">
        <v>0</v>
      </c>
      <c r="CT433" s="1768">
        <v>0</v>
      </c>
      <c r="CU433" s="1768">
        <v>0</v>
      </c>
      <c r="CV433" s="1768">
        <v>0</v>
      </c>
      <c r="CW433" s="1768">
        <v>0</v>
      </c>
      <c r="CX433" s="1768">
        <v>0</v>
      </c>
      <c r="CY433" s="1768">
        <v>0</v>
      </c>
      <c r="CZ433" s="1768">
        <v>-11.858854402979659</v>
      </c>
      <c r="DA433" s="1768">
        <v>0</v>
      </c>
      <c r="DB433" s="1768">
        <v>0</v>
      </c>
      <c r="DC433" s="1768">
        <v>-86.70255740251082</v>
      </c>
      <c r="DD433" s="1768">
        <v>0</v>
      </c>
      <c r="DE433" s="1768">
        <v>0</v>
      </c>
      <c r="DF433" s="1768">
        <v>0</v>
      </c>
      <c r="DG433" s="1768">
        <v>-0.88525580281934246</v>
      </c>
      <c r="DH433" s="1768">
        <v>0</v>
      </c>
      <c r="DI433" s="1768">
        <v>7.9230662639625962</v>
      </c>
      <c r="DJ433" s="1768"/>
      <c r="DK433" s="1768">
        <v>0</v>
      </c>
      <c r="DL433" s="1768">
        <v>0</v>
      </c>
      <c r="DM433" s="1768">
        <v>0</v>
      </c>
      <c r="DN433" s="1768">
        <v>0</v>
      </c>
      <c r="DO433" s="1768">
        <v>0.95742197532288031</v>
      </c>
      <c r="DP433" s="1768">
        <v>0.24485835409661183</v>
      </c>
      <c r="DQ433" s="1768">
        <v>0</v>
      </c>
      <c r="DR433" s="1768">
        <v>0</v>
      </c>
      <c r="DS433" s="1768"/>
      <c r="DT433" s="1768"/>
      <c r="DU433" s="1768"/>
      <c r="DV433" s="1768">
        <v>-806.46546883174415</v>
      </c>
      <c r="DW433" s="1768">
        <v>0</v>
      </c>
      <c r="DX433" s="1768">
        <v>0</v>
      </c>
      <c r="DY433" s="1768">
        <v>350.23010000000011</v>
      </c>
      <c r="DZ433" s="1768">
        <v>-86.704200000000014</v>
      </c>
      <c r="EA433" s="1768">
        <v>0</v>
      </c>
      <c r="EB433" s="1768">
        <v>0</v>
      </c>
      <c r="EC433" s="1768">
        <v>353.85471378834717</v>
      </c>
      <c r="ED433" s="1768">
        <v>0</v>
      </c>
      <c r="EE433" s="1768">
        <v>0</v>
      </c>
      <c r="EF433" s="1768">
        <v>0</v>
      </c>
      <c r="EG433" s="1768">
        <v>0</v>
      </c>
      <c r="EH433" s="1768">
        <v>0</v>
      </c>
      <c r="EI433" s="1768">
        <v>0</v>
      </c>
      <c r="EJ433" s="1768">
        <v>0</v>
      </c>
      <c r="EK433" s="1768">
        <v>0</v>
      </c>
      <c r="EL433" s="1768">
        <v>0</v>
      </c>
      <c r="EM433" s="1768">
        <v>0</v>
      </c>
      <c r="EN433" s="1768">
        <v>0</v>
      </c>
      <c r="EO433" s="1768">
        <v>0</v>
      </c>
      <c r="EP433" s="1768">
        <v>0</v>
      </c>
      <c r="EQ433" s="1768">
        <v>0</v>
      </c>
      <c r="ER433" s="1768">
        <v>0</v>
      </c>
      <c r="ES433" s="1768">
        <v>0</v>
      </c>
      <c r="ET433" s="1768">
        <v>0</v>
      </c>
      <c r="EU433" s="1768">
        <v>0</v>
      </c>
      <c r="EV433" s="1768">
        <v>216</v>
      </c>
      <c r="EW433" s="1768">
        <v>0</v>
      </c>
      <c r="EX433" s="1768">
        <v>0</v>
      </c>
      <c r="EY433" s="1768">
        <v>0</v>
      </c>
      <c r="EZ433" s="1768"/>
      <c r="FA433" s="1768">
        <v>0</v>
      </c>
      <c r="FB433" s="1768"/>
      <c r="FC433" s="1768"/>
      <c r="FD433" s="1768"/>
      <c r="FE433" s="1768"/>
      <c r="FF433" s="1768">
        <v>0</v>
      </c>
      <c r="FG433" s="1768">
        <v>0</v>
      </c>
      <c r="FH433" s="1768">
        <v>0</v>
      </c>
      <c r="FI433" s="1768">
        <v>0</v>
      </c>
    </row>
    <row r="434" spans="1:165">
      <c r="A434" s="1768">
        <v>434</v>
      </c>
      <c r="B434" s="1768" t="s">
        <v>2374</v>
      </c>
      <c r="C434" s="1768" t="s">
        <v>2352</v>
      </c>
      <c r="D434" s="1768" t="s">
        <v>2363</v>
      </c>
      <c r="E434" s="1768" t="s">
        <v>892</v>
      </c>
      <c r="F434" s="1768" t="s">
        <v>1237</v>
      </c>
      <c r="G434" s="1768" t="s">
        <v>1237</v>
      </c>
      <c r="H434" s="1768" t="s">
        <v>1237</v>
      </c>
      <c r="I434" s="1768" t="s">
        <v>1237</v>
      </c>
      <c r="J434" s="1768" t="s">
        <v>2353</v>
      </c>
      <c r="K434" s="1769">
        <v>44774</v>
      </c>
      <c r="L434" s="1768">
        <v>0</v>
      </c>
      <c r="M434" s="1768">
        <v>0</v>
      </c>
      <c r="N434" s="1768">
        <v>9.1839999999999993</v>
      </c>
      <c r="O434" s="1768">
        <v>9.1839999999999993</v>
      </c>
      <c r="P434" s="1768">
        <v>9.1839999999999993</v>
      </c>
      <c r="Q434" s="1768">
        <v>9.1839999999999993</v>
      </c>
      <c r="R434" s="1768"/>
      <c r="S434" s="1768">
        <v>415.98</v>
      </c>
      <c r="T434" s="1768">
        <v>215.17</v>
      </c>
      <c r="U434" s="1768"/>
      <c r="V434" s="1768">
        <v>5796.4815999999992</v>
      </c>
      <c r="W434" s="1768">
        <v>5796.4815999999992</v>
      </c>
      <c r="X434" s="1768">
        <v>5037.7913599999993</v>
      </c>
      <c r="Y434" s="1768">
        <v>0</v>
      </c>
      <c r="Z434" s="1768">
        <v>561.01931689701519</v>
      </c>
      <c r="AA434" s="1768">
        <v>0</v>
      </c>
      <c r="AB434" s="1768">
        <v>0</v>
      </c>
      <c r="AC434" s="1768">
        <v>0</v>
      </c>
      <c r="AD434" s="1768">
        <v>820.27426288843742</v>
      </c>
      <c r="AE434" s="1768">
        <v>2321.811556661673</v>
      </c>
      <c r="AF434" s="1768">
        <v>1935.6376347775265</v>
      </c>
      <c r="AG434" s="1768">
        <v>40.473653210827024</v>
      </c>
      <c r="AH434" s="1768">
        <v>0</v>
      </c>
      <c r="AI434" s="1768">
        <v>0</v>
      </c>
      <c r="AJ434" s="1768">
        <v>0</v>
      </c>
      <c r="AK434" s="1768">
        <v>0</v>
      </c>
      <c r="AL434" s="1768">
        <v>86.691875346272695</v>
      </c>
      <c r="AM434" s="1768"/>
      <c r="AN434" s="1768">
        <v>10.813218445670325</v>
      </c>
      <c r="AO434" s="1768">
        <v>0</v>
      </c>
      <c r="AP434" s="1768">
        <v>0</v>
      </c>
      <c r="AQ434" s="1768">
        <v>0</v>
      </c>
      <c r="AR434" s="1768">
        <v>0</v>
      </c>
      <c r="AS434" s="1768">
        <v>0</v>
      </c>
      <c r="AT434" s="1768">
        <v>0</v>
      </c>
      <c r="AU434" s="1768">
        <v>0</v>
      </c>
      <c r="AV434" s="1768">
        <v>0</v>
      </c>
      <c r="AW434" s="1768">
        <v>0</v>
      </c>
      <c r="AX434" s="1768">
        <v>0</v>
      </c>
      <c r="AY434" s="1768">
        <v>0</v>
      </c>
      <c r="AZ434" s="1768">
        <v>0</v>
      </c>
      <c r="BA434" s="1768"/>
      <c r="BB434" s="1768">
        <v>0</v>
      </c>
      <c r="BC434" s="1768">
        <v>0</v>
      </c>
      <c r="BD434" s="1768">
        <v>0</v>
      </c>
      <c r="BE434" s="1768">
        <v>0</v>
      </c>
      <c r="BF434" s="1768">
        <v>0</v>
      </c>
      <c r="BG434" s="1768">
        <v>19.763366844962967</v>
      </c>
      <c r="BH434" s="1768">
        <v>0</v>
      </c>
      <c r="BI434" s="1768">
        <v>0</v>
      </c>
      <c r="BJ434" s="1768">
        <v>0</v>
      </c>
      <c r="BK434" s="1768">
        <v>1728.38</v>
      </c>
      <c r="BL434" s="1768">
        <v>25</v>
      </c>
      <c r="BM434" s="1768"/>
      <c r="BN434" s="1768"/>
      <c r="BO434" s="1768"/>
      <c r="BP434" s="1768"/>
      <c r="BQ434" s="1768"/>
      <c r="BR434" s="1768">
        <v>604.49087999999983</v>
      </c>
      <c r="BS434" s="1768"/>
      <c r="BT434" s="1768"/>
      <c r="BU434" s="1768"/>
      <c r="BV434" s="1768">
        <v>1955.4010016224895</v>
      </c>
      <c r="BW434" s="1768"/>
      <c r="BX434" s="1768"/>
      <c r="BY434" s="1768"/>
      <c r="BZ434" s="1768"/>
      <c r="CA434" s="1768"/>
      <c r="CB434" s="1768"/>
      <c r="CC434" s="1768"/>
      <c r="CD434" s="1768"/>
      <c r="CE434" s="1768"/>
      <c r="CF434" s="1768"/>
      <c r="CG434" s="1768"/>
      <c r="CH434" s="1768"/>
      <c r="CI434" s="1768">
        <v>4431.3696</v>
      </c>
      <c r="CJ434" s="1768">
        <v>-669.54584000000068</v>
      </c>
      <c r="CK434" s="1768"/>
      <c r="CL434" s="1768"/>
      <c r="CM434" s="1768"/>
      <c r="CN434" s="1768"/>
      <c r="CO434" s="1768">
        <v>-1008.3113600000001</v>
      </c>
      <c r="CP434" s="1768">
        <v>249.62112000000005</v>
      </c>
      <c r="CQ434" s="1768">
        <v>31</v>
      </c>
      <c r="CR434" s="1768">
        <v>260.03480006303926</v>
      </c>
      <c r="CS434" s="1768">
        <v>0</v>
      </c>
      <c r="CT434" s="1768">
        <v>0</v>
      </c>
      <c r="CU434" s="1768">
        <v>0</v>
      </c>
      <c r="CV434" s="1768">
        <v>0</v>
      </c>
      <c r="CW434" s="1768">
        <v>0</v>
      </c>
      <c r="CX434" s="1768">
        <v>0</v>
      </c>
      <c r="CY434" s="1768">
        <v>0</v>
      </c>
      <c r="CZ434" s="1768">
        <v>34.141604651086254</v>
      </c>
      <c r="DA434" s="1768">
        <v>0</v>
      </c>
      <c r="DB434" s="1768">
        <v>0</v>
      </c>
      <c r="DC434" s="1768">
        <v>249.61639096697786</v>
      </c>
      <c r="DD434" s="1768">
        <v>0</v>
      </c>
      <c r="DE434" s="1768">
        <v>0</v>
      </c>
      <c r="DF434" s="1768">
        <v>0</v>
      </c>
      <c r="DG434" s="1768">
        <v>2.5486486812203282</v>
      </c>
      <c r="DH434" s="1768">
        <v>0</v>
      </c>
      <c r="DI434" s="1768">
        <v>-22.810482936749963</v>
      </c>
      <c r="DJ434" s="1768"/>
      <c r="DK434" s="1768">
        <v>0</v>
      </c>
      <c r="DL434" s="1768">
        <v>0</v>
      </c>
      <c r="DM434" s="1768">
        <v>0</v>
      </c>
      <c r="DN434" s="1768">
        <v>0</v>
      </c>
      <c r="DO434" s="1768">
        <v>-2.7564148656317684</v>
      </c>
      <c r="DP434" s="1768">
        <v>-0.70494643386309797</v>
      </c>
      <c r="DQ434" s="1768">
        <v>0</v>
      </c>
      <c r="DR434" s="1768">
        <v>0</v>
      </c>
      <c r="DS434" s="1768"/>
      <c r="DT434" s="1768"/>
      <c r="DU434" s="1768"/>
      <c r="DV434" s="1768">
        <v>2321.811556661673</v>
      </c>
      <c r="DW434" s="1768">
        <v>0</v>
      </c>
      <c r="DX434" s="1768">
        <v>0</v>
      </c>
      <c r="DY434" s="1768">
        <v>-1008.3113600000001</v>
      </c>
      <c r="DZ434" s="1768">
        <v>249.62111999999979</v>
      </c>
      <c r="EA434" s="1768">
        <v>0</v>
      </c>
      <c r="EB434" s="1768">
        <v>0</v>
      </c>
      <c r="EC434" s="1768">
        <v>-1018.7466117342256</v>
      </c>
      <c r="ED434" s="1768">
        <v>0</v>
      </c>
      <c r="EE434" s="1768">
        <v>0</v>
      </c>
      <c r="EF434" s="1768">
        <v>0</v>
      </c>
      <c r="EG434" s="1768">
        <v>0</v>
      </c>
      <c r="EH434" s="1768">
        <v>0</v>
      </c>
      <c r="EI434" s="1768">
        <v>0</v>
      </c>
      <c r="EJ434" s="1768">
        <v>0</v>
      </c>
      <c r="EK434" s="1768">
        <v>0</v>
      </c>
      <c r="EL434" s="1768">
        <v>0</v>
      </c>
      <c r="EM434" s="1768">
        <v>0</v>
      </c>
      <c r="EN434" s="1768">
        <v>0</v>
      </c>
      <c r="EO434" s="1768">
        <v>0</v>
      </c>
      <c r="EP434" s="1768">
        <v>0</v>
      </c>
      <c r="EQ434" s="1768">
        <v>0</v>
      </c>
      <c r="ER434" s="1768">
        <v>0</v>
      </c>
      <c r="ES434" s="1768">
        <v>0</v>
      </c>
      <c r="ET434" s="1768">
        <v>0</v>
      </c>
      <c r="EU434" s="1768">
        <v>0</v>
      </c>
      <c r="EV434" s="1768">
        <v>216</v>
      </c>
      <c r="EW434" s="1768">
        <v>0</v>
      </c>
      <c r="EX434" s="1768">
        <v>0</v>
      </c>
      <c r="EY434" s="1768">
        <v>0</v>
      </c>
      <c r="EZ434" s="1768"/>
      <c r="FA434" s="1768">
        <v>0</v>
      </c>
      <c r="FB434" s="1768"/>
      <c r="FC434" s="1768"/>
      <c r="FD434" s="1768"/>
      <c r="FE434" s="1768"/>
      <c r="FF434" s="1768">
        <v>0</v>
      </c>
      <c r="FG434" s="1768">
        <v>0</v>
      </c>
      <c r="FH434" s="1768">
        <v>0</v>
      </c>
      <c r="FI434" s="1768">
        <v>0</v>
      </c>
    </row>
    <row r="435" spans="1:165">
      <c r="A435" s="1768">
        <v>435</v>
      </c>
      <c r="B435" s="1768" t="s">
        <v>2374</v>
      </c>
      <c r="C435" s="1768" t="s">
        <v>2352</v>
      </c>
      <c r="D435" s="1768" t="s">
        <v>1824</v>
      </c>
      <c r="E435" s="1768" t="s">
        <v>2364</v>
      </c>
      <c r="F435" s="1768" t="s">
        <v>1237</v>
      </c>
      <c r="G435" s="1768" t="s">
        <v>1237</v>
      </c>
      <c r="H435" s="1768" t="s">
        <v>1237</v>
      </c>
      <c r="I435" s="1768" t="s">
        <v>1237</v>
      </c>
      <c r="J435" s="1768" t="s">
        <v>2353</v>
      </c>
      <c r="K435" s="1769">
        <v>44774</v>
      </c>
      <c r="L435" s="1768">
        <v>0</v>
      </c>
      <c r="M435" s="1768">
        <v>0</v>
      </c>
      <c r="N435" s="1768">
        <v>26.992999999999999</v>
      </c>
      <c r="O435" s="1768">
        <v>26.992999999999999</v>
      </c>
      <c r="P435" s="1768">
        <v>26.992999999999999</v>
      </c>
      <c r="Q435" s="1768">
        <v>26.992999999999999</v>
      </c>
      <c r="R435" s="1768"/>
      <c r="S435" s="1768">
        <v>415.98</v>
      </c>
      <c r="T435" s="1768">
        <v>215.17</v>
      </c>
      <c r="U435" s="1768"/>
      <c r="V435" s="1768">
        <v>17036.631949999999</v>
      </c>
      <c r="W435" s="1768">
        <v>17036.631949999999</v>
      </c>
      <c r="X435" s="1768">
        <v>14806.74022</v>
      </c>
      <c r="Y435" s="1768">
        <v>0</v>
      </c>
      <c r="Z435" s="1768">
        <v>1648.9105423563951</v>
      </c>
      <c r="AA435" s="1768">
        <v>0</v>
      </c>
      <c r="AB435" s="1768">
        <v>0</v>
      </c>
      <c r="AC435" s="1768">
        <v>0</v>
      </c>
      <c r="AD435" s="1768">
        <v>2410.8953808958613</v>
      </c>
      <c r="AE435" s="1768">
        <v>6824.1136050706164</v>
      </c>
      <c r="AF435" s="1768">
        <v>5689.096981222754</v>
      </c>
      <c r="AG435" s="1768">
        <v>118.95746092332902</v>
      </c>
      <c r="AH435" s="1768">
        <v>0</v>
      </c>
      <c r="AI435" s="1768">
        <v>0</v>
      </c>
      <c r="AJ435" s="1768">
        <v>0</v>
      </c>
      <c r="AK435" s="1768">
        <v>0</v>
      </c>
      <c r="AL435" s="1768">
        <v>254.79897552503689</v>
      </c>
      <c r="AM435" s="1768"/>
      <c r="AN435" s="1768">
        <v>31.781490146339184</v>
      </c>
      <c r="AO435" s="1768">
        <v>0</v>
      </c>
      <c r="AP435" s="1768">
        <v>0</v>
      </c>
      <c r="AQ435" s="1768">
        <v>0</v>
      </c>
      <c r="AR435" s="1768">
        <v>0</v>
      </c>
      <c r="AS435" s="1768">
        <v>0</v>
      </c>
      <c r="AT435" s="1768">
        <v>0</v>
      </c>
      <c r="AU435" s="1768">
        <v>0</v>
      </c>
      <c r="AV435" s="1768">
        <v>0</v>
      </c>
      <c r="AW435" s="1768">
        <v>0</v>
      </c>
      <c r="AX435" s="1768">
        <v>0</v>
      </c>
      <c r="AY435" s="1768">
        <v>0</v>
      </c>
      <c r="AZ435" s="1768">
        <v>0</v>
      </c>
      <c r="BA435" s="1768"/>
      <c r="BB435" s="1768">
        <v>0</v>
      </c>
      <c r="BC435" s="1768">
        <v>0</v>
      </c>
      <c r="BD435" s="1768">
        <v>0</v>
      </c>
      <c r="BE435" s="1768">
        <v>0</v>
      </c>
      <c r="BF435" s="1768">
        <v>0</v>
      </c>
      <c r="BG435" s="1768">
        <v>58.087169125227071</v>
      </c>
      <c r="BH435" s="1768">
        <v>0</v>
      </c>
      <c r="BI435" s="1768">
        <v>0</v>
      </c>
      <c r="BJ435" s="1768">
        <v>0</v>
      </c>
      <c r="BK435" s="1768">
        <v>2500.96</v>
      </c>
      <c r="BL435" s="1768">
        <v>51</v>
      </c>
      <c r="BM435" s="1768"/>
      <c r="BN435" s="1768"/>
      <c r="BO435" s="1768"/>
      <c r="BP435" s="1768"/>
      <c r="BQ435" s="1768"/>
      <c r="BR435" s="1768"/>
      <c r="BS435" s="1768"/>
      <c r="BT435" s="1768"/>
      <c r="BU435" s="1768"/>
      <c r="BV435" s="1768">
        <v>5747.1841503479809</v>
      </c>
      <c r="BW435" s="1768"/>
      <c r="BX435" s="1768"/>
      <c r="BY435" s="1768"/>
      <c r="BZ435" s="1768"/>
      <c r="CA435" s="1768"/>
      <c r="CB435" s="1768"/>
      <c r="CC435" s="1768"/>
      <c r="CD435" s="1768"/>
      <c r="CE435" s="1768"/>
      <c r="CF435" s="1768"/>
      <c r="CG435" s="1768"/>
      <c r="CH435" s="1768"/>
      <c r="CI435" s="1768">
        <v>14805.094599999997</v>
      </c>
      <c r="CJ435" s="1768">
        <v>-2231.5673500000012</v>
      </c>
      <c r="CK435" s="1768"/>
      <c r="CL435" s="1768"/>
      <c r="CM435" s="1768"/>
      <c r="CN435" s="1768"/>
      <c r="CO435" s="1768">
        <v>-2963.5614700000006</v>
      </c>
      <c r="CP435" s="1768">
        <v>733.66974000000016</v>
      </c>
      <c r="CQ435" s="1768">
        <v>31</v>
      </c>
      <c r="CR435" s="1768">
        <v>764.27693359120349</v>
      </c>
      <c r="CS435" s="1768">
        <v>0</v>
      </c>
      <c r="CT435" s="1768">
        <v>0</v>
      </c>
      <c r="CU435" s="1768">
        <v>0</v>
      </c>
      <c r="CV435" s="1768">
        <v>0</v>
      </c>
      <c r="CW435" s="1768">
        <v>0</v>
      </c>
      <c r="CX435" s="1768">
        <v>0</v>
      </c>
      <c r="CY435" s="1768">
        <v>0</v>
      </c>
      <c r="CZ435" s="1768">
        <v>100.34672630082468</v>
      </c>
      <c r="DA435" s="1768">
        <v>0</v>
      </c>
      <c r="DB435" s="1768">
        <v>0</v>
      </c>
      <c r="DC435" s="1768">
        <v>733.6558407416851</v>
      </c>
      <c r="DD435" s="1768">
        <v>0</v>
      </c>
      <c r="DE435" s="1768">
        <v>0</v>
      </c>
      <c r="DF435" s="1768">
        <v>0</v>
      </c>
      <c r="DG435" s="1768">
        <v>7.4908181459255516</v>
      </c>
      <c r="DH435" s="1768">
        <v>0</v>
      </c>
      <c r="DI435" s="1768">
        <v>-67.043049424182755</v>
      </c>
      <c r="DJ435" s="1768"/>
      <c r="DK435" s="1768">
        <v>0</v>
      </c>
      <c r="DL435" s="1768">
        <v>0</v>
      </c>
      <c r="DM435" s="1768">
        <v>0</v>
      </c>
      <c r="DN435" s="1768">
        <v>0</v>
      </c>
      <c r="DO435" s="1768">
        <v>-8.101470652003286</v>
      </c>
      <c r="DP435" s="1768">
        <v>-2.0719315210438332</v>
      </c>
      <c r="DQ435" s="1768">
        <v>0</v>
      </c>
      <c r="DR435" s="1768">
        <v>0</v>
      </c>
      <c r="DS435" s="1768"/>
      <c r="DT435" s="1768"/>
      <c r="DU435" s="1768"/>
      <c r="DV435" s="1768">
        <v>6824.1136050706164</v>
      </c>
      <c r="DW435" s="1768">
        <v>0</v>
      </c>
      <c r="DX435" s="1768">
        <v>0</v>
      </c>
      <c r="DY435" s="1768">
        <v>-2963.5614700000006</v>
      </c>
      <c r="DZ435" s="1768">
        <v>733.66974000000027</v>
      </c>
      <c r="EA435" s="1768">
        <v>0</v>
      </c>
      <c r="EB435" s="1768">
        <v>0</v>
      </c>
      <c r="EC435" s="1768">
        <v>-2994.2320656077904</v>
      </c>
      <c r="ED435" s="1768">
        <v>0</v>
      </c>
      <c r="EE435" s="1768">
        <v>0</v>
      </c>
      <c r="EF435" s="1768">
        <v>0</v>
      </c>
      <c r="EG435" s="1768">
        <v>0</v>
      </c>
      <c r="EH435" s="1768">
        <v>0</v>
      </c>
      <c r="EI435" s="1768">
        <v>0</v>
      </c>
      <c r="EJ435" s="1768">
        <v>0</v>
      </c>
      <c r="EK435" s="1768">
        <v>0</v>
      </c>
      <c r="EL435" s="1768">
        <v>0</v>
      </c>
      <c r="EM435" s="1768">
        <v>0</v>
      </c>
      <c r="EN435" s="1768">
        <v>0</v>
      </c>
      <c r="EO435" s="1768">
        <v>0</v>
      </c>
      <c r="EP435" s="1768">
        <v>0</v>
      </c>
      <c r="EQ435" s="1768">
        <v>0</v>
      </c>
      <c r="ER435" s="1768">
        <v>0</v>
      </c>
      <c r="ES435" s="1768">
        <v>0</v>
      </c>
      <c r="ET435" s="1768">
        <v>0</v>
      </c>
      <c r="EU435" s="1768">
        <v>0</v>
      </c>
      <c r="EV435" s="1768">
        <v>216</v>
      </c>
      <c r="EW435" s="1768">
        <v>0</v>
      </c>
      <c r="EX435" s="1768">
        <v>0</v>
      </c>
      <c r="EY435" s="1768">
        <v>0</v>
      </c>
      <c r="EZ435" s="1768"/>
      <c r="FA435" s="1768">
        <v>0</v>
      </c>
      <c r="FB435" s="1768"/>
      <c r="FC435" s="1768"/>
      <c r="FD435" s="1768"/>
      <c r="FE435" s="1768"/>
      <c r="FF435" s="1768">
        <v>0</v>
      </c>
      <c r="FG435" s="1768">
        <v>0</v>
      </c>
      <c r="FH435" s="1768">
        <v>0</v>
      </c>
      <c r="FI435" s="1768">
        <v>0</v>
      </c>
    </row>
    <row r="436" spans="1:165">
      <c r="A436" s="1768">
        <v>436</v>
      </c>
      <c r="B436" s="1768" t="s">
        <v>2374</v>
      </c>
      <c r="C436" s="1768" t="s">
        <v>2352</v>
      </c>
      <c r="D436" s="1768" t="s">
        <v>2365</v>
      </c>
      <c r="E436" s="1768" t="s">
        <v>2366</v>
      </c>
      <c r="F436" s="1768" t="s">
        <v>2367</v>
      </c>
      <c r="G436" s="1768" t="s">
        <v>1237</v>
      </c>
      <c r="H436" s="1768" t="s">
        <v>1237</v>
      </c>
      <c r="I436" s="1768" t="s">
        <v>1237</v>
      </c>
      <c r="J436" s="1768" t="s">
        <v>2353</v>
      </c>
      <c r="K436" s="1769">
        <v>44774</v>
      </c>
      <c r="L436" s="1768">
        <v>0</v>
      </c>
      <c r="M436" s="1768">
        <v>0</v>
      </c>
      <c r="N436" s="1768">
        <v>117.774</v>
      </c>
      <c r="O436" s="1768">
        <v>117.774</v>
      </c>
      <c r="P436" s="1768">
        <v>117.774</v>
      </c>
      <c r="Q436" s="1768">
        <v>117.774</v>
      </c>
      <c r="R436" s="1768"/>
      <c r="S436" s="1768">
        <v>228.79</v>
      </c>
      <c r="T436" s="1768">
        <v>118.34</v>
      </c>
      <c r="U436" s="1768"/>
      <c r="V436" s="1768">
        <v>40882.888619999998</v>
      </c>
      <c r="W436" s="1768">
        <v>40882.888619999998</v>
      </c>
      <c r="X436" s="1768">
        <v>35531.238059999996</v>
      </c>
      <c r="Y436" s="1768">
        <v>0</v>
      </c>
      <c r="Z436" s="1768">
        <v>3956.9271521696351</v>
      </c>
      <c r="AA436" s="1768">
        <v>0</v>
      </c>
      <c r="AB436" s="1768">
        <v>0</v>
      </c>
      <c r="AC436" s="1768">
        <v>0</v>
      </c>
      <c r="AD436" s="1768">
        <v>5785.4790473195362</v>
      </c>
      <c r="AE436" s="1768">
        <v>16375.976573481035</v>
      </c>
      <c r="AF436" s="1768">
        <v>13652.252040402662</v>
      </c>
      <c r="AG436" s="1768">
        <v>285.4648539077279</v>
      </c>
      <c r="AH436" s="1768">
        <v>0</v>
      </c>
      <c r="AI436" s="1768">
        <v>0</v>
      </c>
      <c r="AJ436" s="1768">
        <v>0</v>
      </c>
      <c r="AK436" s="1768">
        <v>0</v>
      </c>
      <c r="AL436" s="1768">
        <v>611.44674541240863</v>
      </c>
      <c r="AM436" s="1768"/>
      <c r="AN436" s="1768">
        <v>76.266745870123046</v>
      </c>
      <c r="AO436" s="1768">
        <v>0</v>
      </c>
      <c r="AP436" s="1768">
        <v>0</v>
      </c>
      <c r="AQ436" s="1768">
        <v>0</v>
      </c>
      <c r="AR436" s="1768">
        <v>0</v>
      </c>
      <c r="AS436" s="1768">
        <v>0</v>
      </c>
      <c r="AT436" s="1768">
        <v>0</v>
      </c>
      <c r="AU436" s="1768">
        <v>0</v>
      </c>
      <c r="AV436" s="1768">
        <v>0</v>
      </c>
      <c r="AW436" s="1768">
        <v>0</v>
      </c>
      <c r="AX436" s="1768">
        <v>0</v>
      </c>
      <c r="AY436" s="1768">
        <v>0</v>
      </c>
      <c r="AZ436" s="1768">
        <v>0</v>
      </c>
      <c r="BA436" s="1768"/>
      <c r="BB436" s="1768">
        <v>0</v>
      </c>
      <c r="BC436" s="1768">
        <v>0</v>
      </c>
      <c r="BD436" s="1768">
        <v>0</v>
      </c>
      <c r="BE436" s="1768">
        <v>0</v>
      </c>
      <c r="BF436" s="1768">
        <v>0</v>
      </c>
      <c r="BG436" s="1768">
        <v>139.39306639147009</v>
      </c>
      <c r="BH436" s="1768">
        <v>0</v>
      </c>
      <c r="BI436" s="1768">
        <v>0</v>
      </c>
      <c r="BJ436" s="1768">
        <v>0</v>
      </c>
      <c r="BK436" s="1768">
        <v>7277.49</v>
      </c>
      <c r="BL436" s="1768">
        <v>87</v>
      </c>
      <c r="BM436" s="1768"/>
      <c r="BN436" s="1768"/>
      <c r="BO436" s="1768"/>
      <c r="BP436" s="1768"/>
      <c r="BQ436" s="1768"/>
      <c r="BR436" s="1768"/>
      <c r="BS436" s="1768"/>
      <c r="BT436" s="1768"/>
      <c r="BU436" s="1768"/>
      <c r="BV436" s="1768">
        <v>13791.645106794133</v>
      </c>
      <c r="BW436" s="1768"/>
      <c r="BX436" s="1768"/>
      <c r="BY436" s="1768"/>
      <c r="BZ436" s="1768"/>
      <c r="CA436" s="1768"/>
      <c r="CB436" s="1768"/>
      <c r="CC436" s="1768"/>
      <c r="CD436" s="1768"/>
      <c r="CE436" s="1768"/>
      <c r="CF436" s="1768"/>
      <c r="CG436" s="1768"/>
      <c r="CH436" s="1768"/>
      <c r="CI436" s="1768">
        <v>35530.031300000002</v>
      </c>
      <c r="CJ436" s="1768">
        <v>-5352.8873199999944</v>
      </c>
      <c r="CK436" s="1768"/>
      <c r="CL436" s="1768"/>
      <c r="CM436" s="1768"/>
      <c r="CN436" s="1768"/>
      <c r="CO436" s="1768">
        <v>-7112.3718599999984</v>
      </c>
      <c r="CP436" s="1768">
        <v>1760.7212999999986</v>
      </c>
      <c r="CQ436" s="1768">
        <v>31</v>
      </c>
      <c r="CR436" s="1768">
        <v>1834.0522864159575</v>
      </c>
      <c r="CS436" s="1768">
        <v>0</v>
      </c>
      <c r="CT436" s="1768">
        <v>0</v>
      </c>
      <c r="CU436" s="1768">
        <v>0</v>
      </c>
      <c r="CV436" s="1768">
        <v>0</v>
      </c>
      <c r="CW436" s="1768">
        <v>0</v>
      </c>
      <c r="CX436" s="1768">
        <v>0</v>
      </c>
      <c r="CY436" s="1768">
        <v>0</v>
      </c>
      <c r="CZ436" s="1768">
        <v>240.80426180284303</v>
      </c>
      <c r="DA436" s="1768">
        <v>0</v>
      </c>
      <c r="DB436" s="1768">
        <v>0</v>
      </c>
      <c r="DC436" s="1768">
        <v>1760.5701716420244</v>
      </c>
      <c r="DD436" s="1768">
        <v>0</v>
      </c>
      <c r="DE436" s="1768">
        <v>0</v>
      </c>
      <c r="DF436" s="1768">
        <v>0</v>
      </c>
      <c r="DG436" s="1768">
        <v>17.975882227801975</v>
      </c>
      <c r="DH436" s="1768">
        <v>0</v>
      </c>
      <c r="DI436" s="1768">
        <v>-160.88469071929194</v>
      </c>
      <c r="DJ436" s="1768"/>
      <c r="DK436" s="1768">
        <v>0</v>
      </c>
      <c r="DL436" s="1768">
        <v>0</v>
      </c>
      <c r="DM436" s="1768">
        <v>0</v>
      </c>
      <c r="DN436" s="1768">
        <v>0</v>
      </c>
      <c r="DO436" s="1768">
        <v>-19.441278572703709</v>
      </c>
      <c r="DP436" s="1768">
        <v>-4.9720599647199464</v>
      </c>
      <c r="DQ436" s="1768">
        <v>0</v>
      </c>
      <c r="DR436" s="1768">
        <v>0</v>
      </c>
      <c r="DS436" s="1768"/>
      <c r="DT436" s="1768"/>
      <c r="DU436" s="1768"/>
      <c r="DV436" s="1768">
        <v>16375.976573481035</v>
      </c>
      <c r="DW436" s="1768">
        <v>0</v>
      </c>
      <c r="DX436" s="1768">
        <v>0</v>
      </c>
      <c r="DY436" s="1768">
        <v>-7112.3718599999993</v>
      </c>
      <c r="DZ436" s="1768">
        <v>1760.7212999999974</v>
      </c>
      <c r="EA436" s="1768">
        <v>0</v>
      </c>
      <c r="EB436" s="1768">
        <v>0</v>
      </c>
      <c r="EC436" s="1768">
        <v>-7185.3250106394735</v>
      </c>
      <c r="ED436" s="1768">
        <v>0</v>
      </c>
      <c r="EE436" s="1768">
        <v>0</v>
      </c>
      <c r="EF436" s="1768">
        <v>0</v>
      </c>
      <c r="EG436" s="1768">
        <v>0</v>
      </c>
      <c r="EH436" s="1768">
        <v>0</v>
      </c>
      <c r="EI436" s="1768">
        <v>0</v>
      </c>
      <c r="EJ436" s="1768">
        <v>0</v>
      </c>
      <c r="EK436" s="1768">
        <v>0</v>
      </c>
      <c r="EL436" s="1768">
        <v>0</v>
      </c>
      <c r="EM436" s="1768">
        <v>0</v>
      </c>
      <c r="EN436" s="1768">
        <v>0</v>
      </c>
      <c r="EO436" s="1768">
        <v>0</v>
      </c>
      <c r="EP436" s="1768">
        <v>0</v>
      </c>
      <c r="EQ436" s="1768">
        <v>0</v>
      </c>
      <c r="ER436" s="1768">
        <v>0</v>
      </c>
      <c r="ES436" s="1768">
        <v>0</v>
      </c>
      <c r="ET436" s="1768">
        <v>0</v>
      </c>
      <c r="EU436" s="1768">
        <v>0</v>
      </c>
      <c r="EV436" s="1768">
        <v>216</v>
      </c>
      <c r="EW436" s="1768">
        <v>0</v>
      </c>
      <c r="EX436" s="1768">
        <v>0</v>
      </c>
      <c r="EY436" s="1768">
        <v>0</v>
      </c>
      <c r="EZ436" s="1768"/>
      <c r="FA436" s="1768">
        <v>0</v>
      </c>
      <c r="FB436" s="1768"/>
      <c r="FC436" s="1768"/>
      <c r="FD436" s="1768"/>
      <c r="FE436" s="1768"/>
      <c r="FF436" s="1768">
        <v>0</v>
      </c>
      <c r="FG436" s="1768">
        <v>0</v>
      </c>
      <c r="FH436" s="1768">
        <v>0</v>
      </c>
      <c r="FI436" s="1768">
        <v>0</v>
      </c>
    </row>
    <row r="437" spans="1:165">
      <c r="A437" s="1768">
        <v>437</v>
      </c>
      <c r="B437" s="1768" t="s">
        <v>2374</v>
      </c>
      <c r="C437" s="1768" t="s">
        <v>2352</v>
      </c>
      <c r="D437" s="1768" t="s">
        <v>1824</v>
      </c>
      <c r="E437" s="1768" t="s">
        <v>919</v>
      </c>
      <c r="F437" s="1768" t="s">
        <v>2368</v>
      </c>
      <c r="G437" s="1768" t="s">
        <v>1237</v>
      </c>
      <c r="H437" s="1768" t="s">
        <v>1237</v>
      </c>
      <c r="I437" s="1768" t="s">
        <v>1237</v>
      </c>
      <c r="J437" s="1768" t="s">
        <v>2353</v>
      </c>
      <c r="K437" s="1769">
        <v>44774</v>
      </c>
      <c r="L437" s="1768">
        <v>0</v>
      </c>
      <c r="M437" s="1768">
        <v>0</v>
      </c>
      <c r="N437" s="1768">
        <v>19.311</v>
      </c>
      <c r="O437" s="1768">
        <v>18.152339999999999</v>
      </c>
      <c r="P437" s="1768">
        <v>19.311</v>
      </c>
      <c r="Q437" s="1768">
        <v>18.152339999999999</v>
      </c>
      <c r="R437" s="1768"/>
      <c r="S437" s="1768">
        <v>415.98</v>
      </c>
      <c r="T437" s="1768">
        <v>215.17</v>
      </c>
      <c r="U437" s="1768"/>
      <c r="V437" s="1768">
        <v>12188.137650000001</v>
      </c>
      <c r="W437" s="1768">
        <v>12188.137650000001</v>
      </c>
      <c r="X437" s="1768">
        <v>10592.855939999999</v>
      </c>
      <c r="Y437" s="1768">
        <v>0</v>
      </c>
      <c r="Z437" s="1768">
        <v>1179.6432957968491</v>
      </c>
      <c r="AA437" s="1768">
        <v>0</v>
      </c>
      <c r="AB437" s="1768">
        <v>0</v>
      </c>
      <c r="AC437" s="1768">
        <v>0</v>
      </c>
      <c r="AD437" s="1768">
        <v>1724.7731152698841</v>
      </c>
      <c r="AE437" s="1768">
        <v>4882.023407087715</v>
      </c>
      <c r="AF437" s="1768">
        <v>4070.0237766973887</v>
      </c>
      <c r="AG437" s="1768">
        <v>85.103083313837175</v>
      </c>
      <c r="AH437" s="1768">
        <v>0</v>
      </c>
      <c r="AI437" s="1768">
        <v>0</v>
      </c>
      <c r="AJ437" s="1768">
        <v>0</v>
      </c>
      <c r="AK437" s="1768">
        <v>0</v>
      </c>
      <c r="AL437" s="1768">
        <v>182.28514860756448</v>
      </c>
      <c r="AM437" s="1768"/>
      <c r="AN437" s="1768">
        <v>22.736722713887158</v>
      </c>
      <c r="AO437" s="1768">
        <v>0</v>
      </c>
      <c r="AP437" s="1768">
        <v>0</v>
      </c>
      <c r="AQ437" s="1768">
        <v>0</v>
      </c>
      <c r="AR437" s="1768">
        <v>0</v>
      </c>
      <c r="AS437" s="1768">
        <v>0</v>
      </c>
      <c r="AT437" s="1768">
        <v>0</v>
      </c>
      <c r="AU437" s="1768">
        <v>0</v>
      </c>
      <c r="AV437" s="1768">
        <v>0</v>
      </c>
      <c r="AW437" s="1768">
        <v>0</v>
      </c>
      <c r="AX437" s="1768">
        <v>0</v>
      </c>
      <c r="AY437" s="1768">
        <v>0</v>
      </c>
      <c r="AZ437" s="1768">
        <v>0</v>
      </c>
      <c r="BA437" s="1768"/>
      <c r="BB437" s="1768">
        <v>0</v>
      </c>
      <c r="BC437" s="1768">
        <v>0</v>
      </c>
      <c r="BD437" s="1768">
        <v>0</v>
      </c>
      <c r="BE437" s="1768">
        <v>0</v>
      </c>
      <c r="BF437" s="1768">
        <v>0</v>
      </c>
      <c r="BG437" s="1768">
        <v>41.556007964185532</v>
      </c>
      <c r="BH437" s="1768">
        <v>0</v>
      </c>
      <c r="BI437" s="1768">
        <v>0</v>
      </c>
      <c r="BJ437" s="1768">
        <v>0</v>
      </c>
      <c r="BK437" s="1768">
        <v>2169.62</v>
      </c>
      <c r="BL437" s="1768">
        <v>4</v>
      </c>
      <c r="BM437" s="1768"/>
      <c r="BN437" s="1768"/>
      <c r="BO437" s="1768"/>
      <c r="BP437" s="1768"/>
      <c r="BQ437" s="1768">
        <v>635.57135640000058</v>
      </c>
      <c r="BR437" s="1768"/>
      <c r="BS437" s="1768"/>
      <c r="BT437" s="1768"/>
      <c r="BU437" s="1768"/>
      <c r="BV437" s="1768">
        <v>4111.5797846615742</v>
      </c>
      <c r="BW437" s="1768"/>
      <c r="BX437" s="1768"/>
      <c r="BY437" s="1768"/>
      <c r="BZ437" s="1768"/>
      <c r="CA437" s="1768"/>
      <c r="CB437" s="1768"/>
      <c r="CC437" s="1768"/>
      <c r="CD437" s="1768"/>
      <c r="CE437" s="1768"/>
      <c r="CF437" s="1768"/>
      <c r="CG437" s="1768"/>
      <c r="CH437" s="1768"/>
      <c r="CI437" s="1768">
        <v>9956.0009999999984</v>
      </c>
      <c r="CJ437" s="1768">
        <v>-1500.878391000002</v>
      </c>
      <c r="CK437" s="1768"/>
      <c r="CL437" s="1768"/>
      <c r="CM437" s="1768"/>
      <c r="CN437" s="1768"/>
      <c r="CO437" s="1768">
        <v>-2120.1546900000003</v>
      </c>
      <c r="CP437" s="1768">
        <v>524.8729800000001</v>
      </c>
      <c r="CQ437" s="1768">
        <v>31</v>
      </c>
      <c r="CR437" s="1768">
        <v>546.76960191826765</v>
      </c>
      <c r="CS437" s="1768">
        <v>0</v>
      </c>
      <c r="CT437" s="1768">
        <v>0</v>
      </c>
      <c r="CU437" s="1768">
        <v>0</v>
      </c>
      <c r="CV437" s="1768">
        <v>0</v>
      </c>
      <c r="CW437" s="1768">
        <v>0</v>
      </c>
      <c r="CX437" s="1768">
        <v>0</v>
      </c>
      <c r="CY437" s="1768">
        <v>0</v>
      </c>
      <c r="CZ437" s="1768">
        <v>71.788820494025231</v>
      </c>
      <c r="DA437" s="1768">
        <v>0</v>
      </c>
      <c r="DB437" s="1768">
        <v>0</v>
      </c>
      <c r="DC437" s="1768">
        <v>524.86303636360117</v>
      </c>
      <c r="DD437" s="1768">
        <v>0</v>
      </c>
      <c r="DE437" s="1768">
        <v>0</v>
      </c>
      <c r="DF437" s="1768">
        <v>0</v>
      </c>
      <c r="DG437" s="1768">
        <v>5.35898896810167</v>
      </c>
      <c r="DH437" s="1768">
        <v>0</v>
      </c>
      <c r="DI437" s="1768">
        <v>-47.963113675041313</v>
      </c>
      <c r="DJ437" s="1768"/>
      <c r="DK437" s="1768">
        <v>0</v>
      </c>
      <c r="DL437" s="1768">
        <v>0</v>
      </c>
      <c r="DM437" s="1768">
        <v>0</v>
      </c>
      <c r="DN437" s="1768">
        <v>0</v>
      </c>
      <c r="DO437" s="1768">
        <v>-5.7958544719310794</v>
      </c>
      <c r="DP437" s="1768">
        <v>-1.4822757604889247</v>
      </c>
      <c r="DQ437" s="1768">
        <v>0</v>
      </c>
      <c r="DR437" s="1768">
        <v>0</v>
      </c>
      <c r="DS437" s="1768"/>
      <c r="DT437" s="1768"/>
      <c r="DU437" s="1768"/>
      <c r="DV437" s="1768">
        <v>4882.023407087715</v>
      </c>
      <c r="DW437" s="1768">
        <v>0</v>
      </c>
      <c r="DX437" s="1768">
        <v>0</v>
      </c>
      <c r="DY437" s="1768">
        <v>-2120.1546900000003</v>
      </c>
      <c r="DZ437" s="1768">
        <v>524.8729800000001</v>
      </c>
      <c r="EA437" s="1768">
        <v>0</v>
      </c>
      <c r="EB437" s="1768">
        <v>0</v>
      </c>
      <c r="EC437" s="1768">
        <v>-2142.0966702090195</v>
      </c>
      <c r="ED437" s="1768">
        <v>0</v>
      </c>
      <c r="EE437" s="1768">
        <v>0</v>
      </c>
      <c r="EF437" s="1768">
        <v>0</v>
      </c>
      <c r="EG437" s="1768">
        <v>0</v>
      </c>
      <c r="EH437" s="1768">
        <v>0</v>
      </c>
      <c r="EI437" s="1768">
        <v>0</v>
      </c>
      <c r="EJ437" s="1768">
        <v>0</v>
      </c>
      <c r="EK437" s="1768">
        <v>0</v>
      </c>
      <c r="EL437" s="1768">
        <v>0</v>
      </c>
      <c r="EM437" s="1768">
        <v>0</v>
      </c>
      <c r="EN437" s="1768">
        <v>0</v>
      </c>
      <c r="EO437" s="1768">
        <v>0</v>
      </c>
      <c r="EP437" s="1768">
        <v>0</v>
      </c>
      <c r="EQ437" s="1768">
        <v>0</v>
      </c>
      <c r="ER437" s="1768">
        <v>0</v>
      </c>
      <c r="ES437" s="1768">
        <v>0</v>
      </c>
      <c r="ET437" s="1768">
        <v>0</v>
      </c>
      <c r="EU437" s="1768">
        <v>0</v>
      </c>
      <c r="EV437" s="1768">
        <v>216</v>
      </c>
      <c r="EW437" s="1768">
        <v>0</v>
      </c>
      <c r="EX437" s="1768">
        <v>0</v>
      </c>
      <c r="EY437" s="1768">
        <v>0</v>
      </c>
      <c r="EZ437" s="1768"/>
      <c r="FA437" s="1768">
        <v>0</v>
      </c>
      <c r="FB437" s="1768"/>
      <c r="FC437" s="1768"/>
      <c r="FD437" s="1768"/>
      <c r="FE437" s="1768"/>
      <c r="FF437" s="1768">
        <v>0</v>
      </c>
      <c r="FG437" s="1768">
        <v>0</v>
      </c>
      <c r="FH437" s="1768">
        <v>0</v>
      </c>
      <c r="FI437" s="1768">
        <v>0</v>
      </c>
    </row>
    <row r="438" spans="1:165">
      <c r="A438" s="1768">
        <v>438</v>
      </c>
      <c r="B438" s="1768" t="s">
        <v>2374</v>
      </c>
      <c r="C438" s="1768" t="s">
        <v>2352</v>
      </c>
      <c r="D438" s="1768" t="s">
        <v>1824</v>
      </c>
      <c r="E438" s="1768" t="s">
        <v>2369</v>
      </c>
      <c r="F438" s="1768" t="s">
        <v>1237</v>
      </c>
      <c r="G438" s="1768" t="s">
        <v>1237</v>
      </c>
      <c r="H438" s="1768" t="s">
        <v>1237</v>
      </c>
      <c r="I438" s="1768" t="s">
        <v>1237</v>
      </c>
      <c r="J438" s="1768" t="s">
        <v>2353</v>
      </c>
      <c r="K438" s="1769">
        <v>44774</v>
      </c>
      <c r="L438" s="1768">
        <v>0</v>
      </c>
      <c r="M438" s="1768">
        <v>0</v>
      </c>
      <c r="N438" s="1768">
        <v>1.8839999999999999</v>
      </c>
      <c r="O438" s="1768">
        <v>1.8839999999999999</v>
      </c>
      <c r="P438" s="1768">
        <v>1.8839999999999999</v>
      </c>
      <c r="Q438" s="1768">
        <v>1.8839999999999999</v>
      </c>
      <c r="R438" s="1768"/>
      <c r="S438" s="1768">
        <v>415.98</v>
      </c>
      <c r="T438" s="1768">
        <v>215.17</v>
      </c>
      <c r="U438" s="1768"/>
      <c r="V438" s="1768">
        <v>1189.0866000000001</v>
      </c>
      <c r="W438" s="1768">
        <v>1189.0866000000001</v>
      </c>
      <c r="X438" s="1768">
        <v>1033.4493599999998</v>
      </c>
      <c r="Y438" s="1768">
        <v>0</v>
      </c>
      <c r="Z438" s="1768">
        <v>115.08715080944869</v>
      </c>
      <c r="AA438" s="1768">
        <v>0</v>
      </c>
      <c r="AB438" s="1768">
        <v>0</v>
      </c>
      <c r="AC438" s="1768">
        <v>0</v>
      </c>
      <c r="AD438" s="1768">
        <v>168.27054783120821</v>
      </c>
      <c r="AE438" s="1768">
        <v>476.29496654514287</v>
      </c>
      <c r="AF438" s="1768">
        <v>397.0754904095013</v>
      </c>
      <c r="AG438" s="1768">
        <v>8.3027398354963093</v>
      </c>
      <c r="AH438" s="1768">
        <v>0</v>
      </c>
      <c r="AI438" s="1768">
        <v>0</v>
      </c>
      <c r="AJ438" s="1768">
        <v>0</v>
      </c>
      <c r="AK438" s="1768">
        <v>0</v>
      </c>
      <c r="AL438" s="1768">
        <v>17.783916937323362</v>
      </c>
      <c r="AM438" s="1768"/>
      <c r="AN438" s="1768">
        <v>2.2182168501353323</v>
      </c>
      <c r="AO438" s="1768">
        <v>0</v>
      </c>
      <c r="AP438" s="1768">
        <v>0</v>
      </c>
      <c r="AQ438" s="1768">
        <v>0</v>
      </c>
      <c r="AR438" s="1768">
        <v>0</v>
      </c>
      <c r="AS438" s="1768">
        <v>0</v>
      </c>
      <c r="AT438" s="1768">
        <v>0</v>
      </c>
      <c r="AU438" s="1768">
        <v>0</v>
      </c>
      <c r="AV438" s="1768">
        <v>0</v>
      </c>
      <c r="AW438" s="1768">
        <v>0</v>
      </c>
      <c r="AX438" s="1768">
        <v>0</v>
      </c>
      <c r="AY438" s="1768">
        <v>0</v>
      </c>
      <c r="AZ438" s="1768">
        <v>0</v>
      </c>
      <c r="BA438" s="1768"/>
      <c r="BB438" s="1768">
        <v>0</v>
      </c>
      <c r="BC438" s="1768">
        <v>0</v>
      </c>
      <c r="BD438" s="1768">
        <v>0</v>
      </c>
      <c r="BE438" s="1768">
        <v>0</v>
      </c>
      <c r="BF438" s="1768">
        <v>0</v>
      </c>
      <c r="BG438" s="1768">
        <v>4.0542446794327347</v>
      </c>
      <c r="BH438" s="1768">
        <v>0</v>
      </c>
      <c r="BI438" s="1768">
        <v>0</v>
      </c>
      <c r="BJ438" s="1768">
        <v>0</v>
      </c>
      <c r="BK438" s="1768">
        <v>211.67</v>
      </c>
      <c r="BL438" s="1768">
        <v>1</v>
      </c>
      <c r="BM438" s="1768"/>
      <c r="BN438" s="1768"/>
      <c r="BO438" s="1768"/>
      <c r="BP438" s="1768"/>
      <c r="BQ438" s="1768"/>
      <c r="BR438" s="1768"/>
      <c r="BS438" s="1768"/>
      <c r="BT438" s="1768"/>
      <c r="BU438" s="1768"/>
      <c r="BV438" s="1768">
        <v>401.12973508893401</v>
      </c>
      <c r="BW438" s="1768"/>
      <c r="BX438" s="1768"/>
      <c r="BY438" s="1768"/>
      <c r="BZ438" s="1768"/>
      <c r="CA438" s="1768"/>
      <c r="CB438" s="1768"/>
      <c r="CC438" s="1768"/>
      <c r="CD438" s="1768"/>
      <c r="CE438" s="1768"/>
      <c r="CF438" s="1768"/>
      <c r="CG438" s="1768"/>
      <c r="CH438" s="1768"/>
      <c r="CI438" s="1768">
        <v>1031.2552000000001</v>
      </c>
      <c r="CJ438" s="1768">
        <v>-157.8614</v>
      </c>
      <c r="CK438" s="1768"/>
      <c r="CL438" s="1768"/>
      <c r="CM438" s="1768"/>
      <c r="CN438" s="1768"/>
      <c r="CO438" s="1768">
        <v>-206.84436000000002</v>
      </c>
      <c r="CP438" s="1768">
        <v>51.20712000000001</v>
      </c>
      <c r="CQ438" s="1768">
        <v>31</v>
      </c>
      <c r="CR438" s="1768">
        <v>53.343375796903956</v>
      </c>
      <c r="CS438" s="1768">
        <v>0</v>
      </c>
      <c r="CT438" s="1768">
        <v>0</v>
      </c>
      <c r="CU438" s="1768">
        <v>0</v>
      </c>
      <c r="CV438" s="1768">
        <v>0</v>
      </c>
      <c r="CW438" s="1768">
        <v>0</v>
      </c>
      <c r="CX438" s="1768">
        <v>0</v>
      </c>
      <c r="CY438" s="1768">
        <v>0</v>
      </c>
      <c r="CZ438" s="1768">
        <v>7.003787365270739</v>
      </c>
      <c r="DA438" s="1768">
        <v>0</v>
      </c>
      <c r="DB438" s="1768">
        <v>0</v>
      </c>
      <c r="DC438" s="1768">
        <v>51.20614988913178</v>
      </c>
      <c r="DD438" s="1768">
        <v>0</v>
      </c>
      <c r="DE438" s="1768">
        <v>0</v>
      </c>
      <c r="DF438" s="1768">
        <v>0</v>
      </c>
      <c r="DG438" s="1768">
        <v>0.5228281920099187</v>
      </c>
      <c r="DH438" s="1768">
        <v>0</v>
      </c>
      <c r="DI438" s="1768">
        <v>-4.6793281634186741</v>
      </c>
      <c r="DJ438" s="1768"/>
      <c r="DK438" s="1768">
        <v>0</v>
      </c>
      <c r="DL438" s="1768">
        <v>0</v>
      </c>
      <c r="DM438" s="1768">
        <v>0</v>
      </c>
      <c r="DN438" s="1768">
        <v>0</v>
      </c>
      <c r="DO438" s="1768">
        <v>-0.56544921677376436</v>
      </c>
      <c r="DP438" s="1768">
        <v>-0.14461226931599258</v>
      </c>
      <c r="DQ438" s="1768">
        <v>0</v>
      </c>
      <c r="DR438" s="1768">
        <v>0</v>
      </c>
      <c r="DS438" s="1768"/>
      <c r="DT438" s="1768"/>
      <c r="DU438" s="1768"/>
      <c r="DV438" s="1768">
        <v>476.29496654514287</v>
      </c>
      <c r="DW438" s="1768">
        <v>0</v>
      </c>
      <c r="DX438" s="1768">
        <v>0</v>
      </c>
      <c r="DY438" s="1768">
        <v>-206.84436000000005</v>
      </c>
      <c r="DZ438" s="1768">
        <v>51.207119999999975</v>
      </c>
      <c r="EA438" s="1768">
        <v>0</v>
      </c>
      <c r="EB438" s="1768">
        <v>0</v>
      </c>
      <c r="EC438" s="1768">
        <v>-208.98504099600183</v>
      </c>
      <c r="ED438" s="1768">
        <v>0</v>
      </c>
      <c r="EE438" s="1768">
        <v>0</v>
      </c>
      <c r="EF438" s="1768">
        <v>0</v>
      </c>
      <c r="EG438" s="1768">
        <v>0</v>
      </c>
      <c r="EH438" s="1768">
        <v>0</v>
      </c>
      <c r="EI438" s="1768">
        <v>0</v>
      </c>
      <c r="EJ438" s="1768">
        <v>0</v>
      </c>
      <c r="EK438" s="1768">
        <v>0</v>
      </c>
      <c r="EL438" s="1768">
        <v>0</v>
      </c>
      <c r="EM438" s="1768">
        <v>0</v>
      </c>
      <c r="EN438" s="1768">
        <v>0</v>
      </c>
      <c r="EO438" s="1768">
        <v>0</v>
      </c>
      <c r="EP438" s="1768">
        <v>0</v>
      </c>
      <c r="EQ438" s="1768">
        <v>0</v>
      </c>
      <c r="ER438" s="1768">
        <v>0</v>
      </c>
      <c r="ES438" s="1768">
        <v>0</v>
      </c>
      <c r="ET438" s="1768">
        <v>0</v>
      </c>
      <c r="EU438" s="1768">
        <v>0</v>
      </c>
      <c r="EV438" s="1768">
        <v>216</v>
      </c>
      <c r="EW438" s="1768">
        <v>0</v>
      </c>
      <c r="EX438" s="1768">
        <v>0</v>
      </c>
      <c r="EY438" s="1768">
        <v>0</v>
      </c>
      <c r="EZ438" s="1768"/>
      <c r="FA438" s="1768">
        <v>0</v>
      </c>
      <c r="FB438" s="1768"/>
      <c r="FC438" s="1768"/>
      <c r="FD438" s="1768"/>
      <c r="FE438" s="1768"/>
      <c r="FF438" s="1768">
        <v>0</v>
      </c>
      <c r="FG438" s="1768">
        <v>0</v>
      </c>
      <c r="FH438" s="1768">
        <v>0</v>
      </c>
      <c r="FI438" s="1768">
        <v>0</v>
      </c>
    </row>
    <row r="439" spans="1:165">
      <c r="A439" s="1768">
        <v>439</v>
      </c>
      <c r="B439" s="1768" t="s">
        <v>2374</v>
      </c>
      <c r="C439" s="1768" t="s">
        <v>2352</v>
      </c>
      <c r="D439" s="1768" t="s">
        <v>2363</v>
      </c>
      <c r="E439" s="1768" t="s">
        <v>892</v>
      </c>
      <c r="F439" s="1768" t="s">
        <v>2370</v>
      </c>
      <c r="G439" s="1768" t="s">
        <v>2371</v>
      </c>
      <c r="H439" s="1768" t="s">
        <v>1237</v>
      </c>
      <c r="I439" s="1768" t="s">
        <v>1237</v>
      </c>
      <c r="J439" s="1768" t="s">
        <v>2353</v>
      </c>
      <c r="K439" s="1769">
        <v>44774</v>
      </c>
      <c r="L439" s="1768">
        <v>0</v>
      </c>
      <c r="M439" s="1768">
        <v>0</v>
      </c>
      <c r="N439" s="1768">
        <v>0</v>
      </c>
      <c r="O439" s="1768">
        <v>0</v>
      </c>
      <c r="P439" s="1768">
        <v>0</v>
      </c>
      <c r="Q439" s="1768">
        <v>0</v>
      </c>
      <c r="R439" s="1768"/>
      <c r="S439" s="1768"/>
      <c r="T439" s="1768"/>
      <c r="U439" s="1768"/>
      <c r="V439" s="1768"/>
      <c r="W439" s="1768"/>
      <c r="X439" s="1768"/>
      <c r="Y439" s="1768"/>
      <c r="Z439" s="1768"/>
      <c r="AA439" s="1768">
        <v>0</v>
      </c>
      <c r="AB439" s="1768"/>
      <c r="AC439" s="1768"/>
      <c r="AD439" s="1768"/>
      <c r="AE439" s="1768"/>
      <c r="AF439" s="1768"/>
      <c r="AG439" s="1768"/>
      <c r="AH439" s="1768"/>
      <c r="AI439" s="1768"/>
      <c r="AJ439" s="1768"/>
      <c r="AK439" s="1768"/>
      <c r="AL439" s="1768"/>
      <c r="AM439" s="1768"/>
      <c r="AN439" s="1768"/>
      <c r="AO439" s="1768"/>
      <c r="AP439" s="1768"/>
      <c r="AQ439" s="1768"/>
      <c r="AR439" s="1768"/>
      <c r="AS439" s="1768"/>
      <c r="AT439" s="1768"/>
      <c r="AU439" s="1768"/>
      <c r="AV439" s="1768"/>
      <c r="AW439" s="1768"/>
      <c r="AX439" s="1768"/>
      <c r="AY439" s="1768"/>
      <c r="AZ439" s="1768">
        <v>0</v>
      </c>
      <c r="BA439" s="1768"/>
      <c r="BB439" s="1768"/>
      <c r="BC439" s="1768"/>
      <c r="BD439" s="1768"/>
      <c r="BE439" s="1768"/>
      <c r="BF439" s="1768"/>
      <c r="BG439" s="1768"/>
      <c r="BH439" s="1768"/>
      <c r="BI439" s="1768">
        <v>0</v>
      </c>
      <c r="BJ439" s="1768">
        <v>0</v>
      </c>
      <c r="BK439" s="1768">
        <v>351.82</v>
      </c>
      <c r="BL439" s="1768">
        <v>10</v>
      </c>
      <c r="BM439" s="1768"/>
      <c r="BN439" s="1768"/>
      <c r="BO439" s="1768"/>
      <c r="BP439" s="1768"/>
      <c r="BQ439" s="1768"/>
      <c r="BR439" s="1768"/>
      <c r="BS439" s="1768"/>
      <c r="BT439" s="1768"/>
      <c r="BU439" s="1768"/>
      <c r="BV439" s="1768"/>
      <c r="BW439" s="1768"/>
      <c r="BX439" s="1768"/>
      <c r="BY439" s="1768"/>
      <c r="BZ439" s="1768"/>
      <c r="CA439" s="1768"/>
      <c r="CB439" s="1768"/>
      <c r="CC439" s="1768"/>
      <c r="CD439" s="1768"/>
      <c r="CE439" s="1768"/>
      <c r="CF439" s="1768"/>
      <c r="CG439" s="1768"/>
      <c r="CH439" s="1768"/>
      <c r="CI439" s="1768"/>
      <c r="CJ439" s="1768">
        <v>-0.03</v>
      </c>
      <c r="CK439" s="1768"/>
      <c r="CL439" s="1768"/>
      <c r="CM439" s="1768"/>
      <c r="CN439" s="1768"/>
      <c r="CO439" s="1768">
        <v>0</v>
      </c>
      <c r="CP439" s="1768">
        <v>0</v>
      </c>
      <c r="CQ439" s="1768">
        <v>31</v>
      </c>
      <c r="CR439" s="1768"/>
      <c r="CS439" s="1768"/>
      <c r="CT439" s="1768"/>
      <c r="CU439" s="1768"/>
      <c r="CV439" s="1768"/>
      <c r="CW439" s="1768"/>
      <c r="CX439" s="1768"/>
      <c r="CY439" s="1768"/>
      <c r="CZ439" s="1768"/>
      <c r="DA439" s="1768"/>
      <c r="DB439" s="1768"/>
      <c r="DC439" s="1768"/>
      <c r="DD439" s="1768"/>
      <c r="DE439" s="1768"/>
      <c r="DF439" s="1768"/>
      <c r="DG439" s="1768"/>
      <c r="DH439" s="1768"/>
      <c r="DI439" s="1768"/>
      <c r="DJ439" s="1768"/>
      <c r="DK439" s="1768">
        <v>0</v>
      </c>
      <c r="DL439" s="1768"/>
      <c r="DM439" s="1768"/>
      <c r="DN439" s="1768"/>
      <c r="DO439" s="1768"/>
      <c r="DP439" s="1768"/>
      <c r="DQ439" s="1768"/>
      <c r="DR439" s="1768"/>
      <c r="DS439" s="1768"/>
      <c r="DT439" s="1768"/>
      <c r="DU439" s="1768"/>
      <c r="DV439" s="1768"/>
      <c r="DW439" s="1768"/>
      <c r="DX439" s="1768"/>
      <c r="DY439" s="1768"/>
      <c r="DZ439" s="1768"/>
      <c r="EA439" s="1768"/>
      <c r="EB439" s="1768"/>
      <c r="EC439" s="1768"/>
      <c r="ED439" s="1768"/>
      <c r="EE439" s="1768"/>
      <c r="EF439" s="1768"/>
      <c r="EG439" s="1768"/>
      <c r="EH439" s="1768"/>
      <c r="EI439" s="1768"/>
      <c r="EJ439" s="1768"/>
      <c r="EK439" s="1768"/>
      <c r="EL439" s="1768"/>
      <c r="EM439" s="1768"/>
      <c r="EN439" s="1768"/>
      <c r="EO439" s="1768"/>
      <c r="EP439" s="1768"/>
      <c r="EQ439" s="1768"/>
      <c r="ER439" s="1768"/>
      <c r="ES439" s="1768"/>
      <c r="ET439" s="1768"/>
      <c r="EU439" s="1768"/>
      <c r="EV439" s="1768">
        <v>216</v>
      </c>
      <c r="EW439" s="1768"/>
      <c r="EX439" s="1768"/>
      <c r="EY439" s="1768"/>
      <c r="EZ439" s="1768"/>
      <c r="FA439" s="1768">
        <v>0</v>
      </c>
      <c r="FB439" s="1768"/>
      <c r="FC439" s="1768"/>
      <c r="FD439" s="1768"/>
      <c r="FE439" s="1768"/>
      <c r="FF439" s="1768">
        <v>0</v>
      </c>
      <c r="FG439" s="1768">
        <v>0</v>
      </c>
      <c r="FH439" s="1768">
        <v>0</v>
      </c>
      <c r="FI439" s="1768">
        <v>0</v>
      </c>
    </row>
    <row r="440" spans="1:165">
      <c r="A440" s="1768">
        <v>440</v>
      </c>
      <c r="B440" s="1768" t="s">
        <v>2374</v>
      </c>
      <c r="C440" s="1768" t="s">
        <v>2352</v>
      </c>
      <c r="D440" s="1768" t="s">
        <v>2363</v>
      </c>
      <c r="E440" s="1768" t="s">
        <v>892</v>
      </c>
      <c r="F440" s="1768" t="s">
        <v>2370</v>
      </c>
      <c r="G440" s="1768" t="s">
        <v>2371</v>
      </c>
      <c r="H440" s="1768" t="s">
        <v>1237</v>
      </c>
      <c r="I440" s="1768" t="s">
        <v>1237</v>
      </c>
      <c r="J440" s="1768" t="s">
        <v>2353</v>
      </c>
      <c r="K440" s="1769">
        <v>44774</v>
      </c>
      <c r="L440" s="1768">
        <v>0</v>
      </c>
      <c r="M440" s="1768">
        <v>0</v>
      </c>
      <c r="N440" s="1768">
        <v>1.625</v>
      </c>
      <c r="O440" s="1768">
        <v>1.625</v>
      </c>
      <c r="P440" s="1768">
        <v>1.625</v>
      </c>
      <c r="Q440" s="1768">
        <v>1.625</v>
      </c>
      <c r="R440" s="1768"/>
      <c r="S440" s="1768">
        <v>415.98</v>
      </c>
      <c r="T440" s="1768">
        <v>215.17</v>
      </c>
      <c r="U440" s="1768"/>
      <c r="V440" s="1768">
        <v>1025.6187500000001</v>
      </c>
      <c r="W440" s="1768">
        <v>1025.6187500000001</v>
      </c>
      <c r="X440" s="1768">
        <v>891.37749999999994</v>
      </c>
      <c r="Y440" s="1768">
        <v>0</v>
      </c>
      <c r="Z440" s="1768">
        <v>99.2657219030542</v>
      </c>
      <c r="AA440" s="1768">
        <v>0</v>
      </c>
      <c r="AB440" s="1768">
        <v>0</v>
      </c>
      <c r="AC440" s="1768">
        <v>0</v>
      </c>
      <c r="AD440" s="1768">
        <v>145.13781328328733</v>
      </c>
      <c r="AE440" s="1768">
        <v>410.8170491697756</v>
      </c>
      <c r="AF440" s="1768">
        <v>342.48814857507415</v>
      </c>
      <c r="AG440" s="1768">
        <v>7.1613334568373164</v>
      </c>
      <c r="AH440" s="1768">
        <v>0</v>
      </c>
      <c r="AI440" s="1768">
        <v>0</v>
      </c>
      <c r="AJ440" s="1768">
        <v>0</v>
      </c>
      <c r="AK440" s="1768">
        <v>0</v>
      </c>
      <c r="AL440" s="1768">
        <v>15.339100330759271</v>
      </c>
      <c r="AM440" s="1768"/>
      <c r="AN440" s="1768">
        <v>1.9132709031156663</v>
      </c>
      <c r="AO440" s="1768">
        <v>0</v>
      </c>
      <c r="AP440" s="1768">
        <v>0</v>
      </c>
      <c r="AQ440" s="1768">
        <v>0</v>
      </c>
      <c r="AR440" s="1768">
        <v>0</v>
      </c>
      <c r="AS440" s="1768">
        <v>0</v>
      </c>
      <c r="AT440" s="1768">
        <v>0</v>
      </c>
      <c r="AU440" s="1768">
        <v>0</v>
      </c>
      <c r="AV440" s="1768">
        <v>0</v>
      </c>
      <c r="AW440" s="1768">
        <v>0</v>
      </c>
      <c r="AX440" s="1768">
        <v>0</v>
      </c>
      <c r="AY440" s="1768">
        <v>0</v>
      </c>
      <c r="AZ440" s="1768">
        <v>0</v>
      </c>
      <c r="BA440" s="1768"/>
      <c r="BB440" s="1768">
        <v>0</v>
      </c>
      <c r="BC440" s="1768">
        <v>0</v>
      </c>
      <c r="BD440" s="1768">
        <v>0</v>
      </c>
      <c r="BE440" s="1768">
        <v>0</v>
      </c>
      <c r="BF440" s="1768">
        <v>0</v>
      </c>
      <c r="BG440" s="1768">
        <v>3.496893632737895</v>
      </c>
      <c r="BH440" s="1768">
        <v>0</v>
      </c>
      <c r="BI440" s="1768">
        <v>0</v>
      </c>
      <c r="BJ440" s="1768">
        <v>0</v>
      </c>
      <c r="BK440" s="1768">
        <v>0</v>
      </c>
      <c r="BL440" s="1768">
        <v>0</v>
      </c>
      <c r="BM440" s="1768"/>
      <c r="BN440" s="1768"/>
      <c r="BO440" s="1768"/>
      <c r="BP440" s="1768"/>
      <c r="BQ440" s="1768"/>
      <c r="BR440" s="1768">
        <v>106.95749999999998</v>
      </c>
      <c r="BS440" s="1768"/>
      <c r="BT440" s="1768"/>
      <c r="BU440" s="1768"/>
      <c r="BV440" s="1768">
        <v>345.98504220781206</v>
      </c>
      <c r="BW440" s="1768"/>
      <c r="BX440" s="1768"/>
      <c r="BY440" s="1768"/>
      <c r="BZ440" s="1768"/>
      <c r="CA440" s="1768"/>
      <c r="CB440" s="1768"/>
      <c r="CC440" s="1768"/>
      <c r="CD440" s="1768"/>
      <c r="CE440" s="1768"/>
      <c r="CF440" s="1768"/>
      <c r="CG440" s="1768"/>
      <c r="CH440" s="1768"/>
      <c r="CI440" s="1768">
        <v>786.83359999999993</v>
      </c>
      <c r="CJ440" s="1768">
        <v>-115.73765000000003</v>
      </c>
      <c r="CK440" s="1768"/>
      <c r="CL440" s="1768"/>
      <c r="CM440" s="1768"/>
      <c r="CN440" s="1768"/>
      <c r="CO440" s="1768">
        <v>-178.40875000000003</v>
      </c>
      <c r="CP440" s="1768">
        <v>44.167500000000011</v>
      </c>
      <c r="CQ440" s="1768">
        <v>31</v>
      </c>
      <c r="CR440" s="1768">
        <v>46.01007731951654</v>
      </c>
      <c r="CS440" s="1768">
        <v>0</v>
      </c>
      <c r="CT440" s="1768">
        <v>0</v>
      </c>
      <c r="CU440" s="1768">
        <v>0</v>
      </c>
      <c r="CV440" s="1768">
        <v>0</v>
      </c>
      <c r="CW440" s="1768">
        <v>0</v>
      </c>
      <c r="CX440" s="1768">
        <v>0</v>
      </c>
      <c r="CY440" s="1768">
        <v>0</v>
      </c>
      <c r="CZ440" s="1768">
        <v>6.0409524780068864</v>
      </c>
      <c r="DA440" s="1768">
        <v>0</v>
      </c>
      <c r="DB440" s="1768">
        <v>0</v>
      </c>
      <c r="DC440" s="1768">
        <v>44.166663253630134</v>
      </c>
      <c r="DD440" s="1768">
        <v>0</v>
      </c>
      <c r="DE440" s="1768">
        <v>0</v>
      </c>
      <c r="DF440" s="1768">
        <v>0</v>
      </c>
      <c r="DG440" s="1768">
        <v>0.45095319109135756</v>
      </c>
      <c r="DH440" s="1768">
        <v>0</v>
      </c>
      <c r="DI440" s="1768">
        <v>-4.0360447269401902</v>
      </c>
      <c r="DJ440" s="1768"/>
      <c r="DK440" s="1768">
        <v>0</v>
      </c>
      <c r="DL440" s="1768">
        <v>0</v>
      </c>
      <c r="DM440" s="1768">
        <v>0</v>
      </c>
      <c r="DN440" s="1768">
        <v>0</v>
      </c>
      <c r="DO440" s="1768">
        <v>-0.48771495608140469</v>
      </c>
      <c r="DP440" s="1768">
        <v>-0.12473192019028012</v>
      </c>
      <c r="DQ440" s="1768">
        <v>0</v>
      </c>
      <c r="DR440" s="1768">
        <v>0</v>
      </c>
      <c r="DS440" s="1768"/>
      <c r="DT440" s="1768"/>
      <c r="DU440" s="1768"/>
      <c r="DV440" s="1768">
        <v>410.8170491697756</v>
      </c>
      <c r="DW440" s="1768">
        <v>0</v>
      </c>
      <c r="DX440" s="1768">
        <v>0</v>
      </c>
      <c r="DY440" s="1768">
        <v>-178.40875</v>
      </c>
      <c r="DZ440" s="1768">
        <v>44.167499999999961</v>
      </c>
      <c r="EA440" s="1768">
        <v>0</v>
      </c>
      <c r="EB440" s="1768">
        <v>0</v>
      </c>
      <c r="EC440" s="1768">
        <v>-180.25514417117995</v>
      </c>
      <c r="ED440" s="1768">
        <v>0</v>
      </c>
      <c r="EE440" s="1768">
        <v>0</v>
      </c>
      <c r="EF440" s="1768">
        <v>0</v>
      </c>
      <c r="EG440" s="1768">
        <v>0</v>
      </c>
      <c r="EH440" s="1768">
        <v>0</v>
      </c>
      <c r="EI440" s="1768">
        <v>0</v>
      </c>
      <c r="EJ440" s="1768">
        <v>0</v>
      </c>
      <c r="EK440" s="1768">
        <v>0</v>
      </c>
      <c r="EL440" s="1768">
        <v>0</v>
      </c>
      <c r="EM440" s="1768">
        <v>0</v>
      </c>
      <c r="EN440" s="1768">
        <v>0</v>
      </c>
      <c r="EO440" s="1768">
        <v>0</v>
      </c>
      <c r="EP440" s="1768">
        <v>0</v>
      </c>
      <c r="EQ440" s="1768">
        <v>0</v>
      </c>
      <c r="ER440" s="1768">
        <v>0</v>
      </c>
      <c r="ES440" s="1768">
        <v>0</v>
      </c>
      <c r="ET440" s="1768">
        <v>0</v>
      </c>
      <c r="EU440" s="1768">
        <v>0</v>
      </c>
      <c r="EV440" s="1768">
        <v>216</v>
      </c>
      <c r="EW440" s="1768">
        <v>0</v>
      </c>
      <c r="EX440" s="1768">
        <v>0</v>
      </c>
      <c r="EY440" s="1768">
        <v>0</v>
      </c>
      <c r="EZ440" s="1768"/>
      <c r="FA440" s="1768">
        <v>0</v>
      </c>
      <c r="FB440" s="1768"/>
      <c r="FC440" s="1768"/>
      <c r="FD440" s="1768"/>
      <c r="FE440" s="1768"/>
      <c r="FF440" s="1768">
        <v>0</v>
      </c>
      <c r="FG440" s="1768">
        <v>0</v>
      </c>
      <c r="FH440" s="1768">
        <v>0</v>
      </c>
      <c r="FI440" s="1768">
        <v>0</v>
      </c>
    </row>
    <row r="441" spans="1:165">
      <c r="A441" s="1768">
        <v>441</v>
      </c>
      <c r="B441" s="1768" t="s">
        <v>2374</v>
      </c>
      <c r="C441" s="1768" t="s">
        <v>2352</v>
      </c>
      <c r="D441" s="1768" t="s">
        <v>2363</v>
      </c>
      <c r="E441" s="1768" t="s">
        <v>892</v>
      </c>
      <c r="F441" s="1768" t="s">
        <v>2370</v>
      </c>
      <c r="G441" s="1768" t="s">
        <v>2372</v>
      </c>
      <c r="H441" s="1768" t="s">
        <v>1237</v>
      </c>
      <c r="I441" s="1768" t="s">
        <v>1237</v>
      </c>
      <c r="J441" s="1768" t="s">
        <v>2353</v>
      </c>
      <c r="K441" s="1769">
        <v>44774</v>
      </c>
      <c r="L441" s="1768">
        <v>0</v>
      </c>
      <c r="M441" s="1768">
        <v>0</v>
      </c>
      <c r="N441" s="1768">
        <v>0.98399999999999999</v>
      </c>
      <c r="O441" s="1768">
        <v>0.39360000000000001</v>
      </c>
      <c r="P441" s="1768">
        <v>0.98399999999999999</v>
      </c>
      <c r="Q441" s="1768">
        <v>0.39360000000000001</v>
      </c>
      <c r="R441" s="1768"/>
      <c r="S441" s="1768">
        <v>415.98</v>
      </c>
      <c r="T441" s="1768">
        <v>215.17</v>
      </c>
      <c r="U441" s="1768"/>
      <c r="V441" s="1768">
        <v>621.05160000000001</v>
      </c>
      <c r="W441" s="1768">
        <v>621.05160000000001</v>
      </c>
      <c r="X441" s="1768">
        <v>539.76335999999992</v>
      </c>
      <c r="Y441" s="1768">
        <v>0</v>
      </c>
      <c r="Z441" s="1768">
        <v>60.10921252468021</v>
      </c>
      <c r="AA441" s="1768">
        <v>0</v>
      </c>
      <c r="AB441" s="1768">
        <v>0</v>
      </c>
      <c r="AC441" s="1768">
        <v>0</v>
      </c>
      <c r="AD441" s="1768">
        <v>87.886528166618305</v>
      </c>
      <c r="AE441" s="1768">
        <v>248.76552392803643</v>
      </c>
      <c r="AF441" s="1768">
        <v>207.38974658330645</v>
      </c>
      <c r="AG441" s="1768">
        <v>4.3364628440171806</v>
      </c>
      <c r="AH441" s="1768">
        <v>0</v>
      </c>
      <c r="AI441" s="1768">
        <v>0</v>
      </c>
      <c r="AJ441" s="1768">
        <v>0</v>
      </c>
      <c r="AK441" s="1768">
        <v>0</v>
      </c>
      <c r="AL441" s="1768">
        <v>9.2884152156720745</v>
      </c>
      <c r="AM441" s="1768"/>
      <c r="AN441" s="1768">
        <v>1.1585591191789635</v>
      </c>
      <c r="AO441" s="1768">
        <v>0</v>
      </c>
      <c r="AP441" s="1768">
        <v>0</v>
      </c>
      <c r="AQ441" s="1768">
        <v>0</v>
      </c>
      <c r="AR441" s="1768">
        <v>0</v>
      </c>
      <c r="AS441" s="1768">
        <v>0</v>
      </c>
      <c r="AT441" s="1768">
        <v>0</v>
      </c>
      <c r="AU441" s="1768">
        <v>0</v>
      </c>
      <c r="AV441" s="1768">
        <v>0</v>
      </c>
      <c r="AW441" s="1768">
        <v>0</v>
      </c>
      <c r="AX441" s="1768">
        <v>0</v>
      </c>
      <c r="AY441" s="1768">
        <v>0</v>
      </c>
      <c r="AZ441" s="1768">
        <v>0</v>
      </c>
      <c r="BA441" s="1768"/>
      <c r="BB441" s="1768">
        <v>0</v>
      </c>
      <c r="BC441" s="1768">
        <v>0</v>
      </c>
      <c r="BD441" s="1768">
        <v>0</v>
      </c>
      <c r="BE441" s="1768">
        <v>0</v>
      </c>
      <c r="BF441" s="1768">
        <v>0</v>
      </c>
      <c r="BG441" s="1768">
        <v>2.1175035905317467</v>
      </c>
      <c r="BH441" s="1768">
        <v>0</v>
      </c>
      <c r="BI441" s="1768">
        <v>0</v>
      </c>
      <c r="BJ441" s="1768">
        <v>0</v>
      </c>
      <c r="BK441" s="1768">
        <v>0</v>
      </c>
      <c r="BL441" s="1768">
        <v>0</v>
      </c>
      <c r="BM441" s="1768"/>
      <c r="BN441" s="1768"/>
      <c r="BO441" s="1768"/>
      <c r="BP441" s="1768"/>
      <c r="BQ441" s="1768"/>
      <c r="BR441" s="1768"/>
      <c r="BS441" s="1768">
        <v>349.76476799999995</v>
      </c>
      <c r="BT441" s="1768"/>
      <c r="BU441" s="1768"/>
      <c r="BV441" s="1768">
        <v>209.5072501738382</v>
      </c>
      <c r="BW441" s="1768"/>
      <c r="BX441" s="1768"/>
      <c r="BY441" s="1768"/>
      <c r="BZ441" s="1768"/>
      <c r="CA441" s="1768"/>
      <c r="CB441" s="1768"/>
      <c r="CC441" s="1768"/>
      <c r="CD441" s="1768"/>
      <c r="CE441" s="1768"/>
      <c r="CF441" s="1768"/>
      <c r="CG441" s="1768"/>
      <c r="CH441" s="1768"/>
      <c r="CI441" s="1768">
        <v>188.26080000000002</v>
      </c>
      <c r="CJ441" s="1768">
        <v>-30.378575999999953</v>
      </c>
      <c r="CK441" s="1768"/>
      <c r="CL441" s="1768"/>
      <c r="CM441" s="1768"/>
      <c r="CN441" s="1768"/>
      <c r="CO441" s="1768">
        <v>-108.03336000000002</v>
      </c>
      <c r="CP441" s="1768">
        <v>26.745120000000007</v>
      </c>
      <c r="CQ441" s="1768">
        <v>31</v>
      </c>
      <c r="CR441" s="1768">
        <v>27.860871435325691</v>
      </c>
      <c r="CS441" s="1768">
        <v>0</v>
      </c>
      <c r="CT441" s="1768">
        <v>0</v>
      </c>
      <c r="CU441" s="1768">
        <v>0</v>
      </c>
      <c r="CV441" s="1768">
        <v>0</v>
      </c>
      <c r="CW441" s="1768">
        <v>0</v>
      </c>
      <c r="CX441" s="1768">
        <v>0</v>
      </c>
      <c r="CY441" s="1768">
        <v>0</v>
      </c>
      <c r="CZ441" s="1768">
        <v>3.6580290697592375</v>
      </c>
      <c r="DA441" s="1768">
        <v>0</v>
      </c>
      <c r="DB441" s="1768">
        <v>0</v>
      </c>
      <c r="DC441" s="1768">
        <v>26.744613317890469</v>
      </c>
      <c r="DD441" s="1768">
        <v>0</v>
      </c>
      <c r="DE441" s="1768">
        <v>0</v>
      </c>
      <c r="DF441" s="1768">
        <v>0</v>
      </c>
      <c r="DG441" s="1768">
        <v>0.27306950155932075</v>
      </c>
      <c r="DH441" s="1768">
        <v>0</v>
      </c>
      <c r="DI441" s="1768">
        <v>-2.4439803146517889</v>
      </c>
      <c r="DJ441" s="1768"/>
      <c r="DK441" s="1768">
        <v>0</v>
      </c>
      <c r="DL441" s="1768">
        <v>0</v>
      </c>
      <c r="DM441" s="1768">
        <v>0</v>
      </c>
      <c r="DN441" s="1768">
        <v>0</v>
      </c>
      <c r="DO441" s="1768">
        <v>-0.29533016417483182</v>
      </c>
      <c r="DP441" s="1768">
        <v>-7.5529975056760401E-2</v>
      </c>
      <c r="DQ441" s="1768">
        <v>0</v>
      </c>
      <c r="DR441" s="1768">
        <v>0</v>
      </c>
      <c r="DS441" s="1768"/>
      <c r="DT441" s="1768"/>
      <c r="DU441" s="1768"/>
      <c r="DV441" s="1768">
        <v>248.76552392803643</v>
      </c>
      <c r="DW441" s="1768">
        <v>0</v>
      </c>
      <c r="DX441" s="1768">
        <v>0</v>
      </c>
      <c r="DY441" s="1768">
        <v>-108.03336000000002</v>
      </c>
      <c r="DZ441" s="1768">
        <v>26.745120000000014</v>
      </c>
      <c r="EA441" s="1768">
        <v>0</v>
      </c>
      <c r="EB441" s="1768">
        <v>0</v>
      </c>
      <c r="EC441" s="1768">
        <v>-109.15142268580991</v>
      </c>
      <c r="ED441" s="1768">
        <v>0</v>
      </c>
      <c r="EE441" s="1768">
        <v>0</v>
      </c>
      <c r="EF441" s="1768">
        <v>0</v>
      </c>
      <c r="EG441" s="1768">
        <v>0</v>
      </c>
      <c r="EH441" s="1768">
        <v>0</v>
      </c>
      <c r="EI441" s="1768">
        <v>0</v>
      </c>
      <c r="EJ441" s="1768">
        <v>0</v>
      </c>
      <c r="EK441" s="1768">
        <v>0</v>
      </c>
      <c r="EL441" s="1768">
        <v>0</v>
      </c>
      <c r="EM441" s="1768">
        <v>0</v>
      </c>
      <c r="EN441" s="1768">
        <v>0</v>
      </c>
      <c r="EO441" s="1768">
        <v>0</v>
      </c>
      <c r="EP441" s="1768">
        <v>0</v>
      </c>
      <c r="EQ441" s="1768">
        <v>0</v>
      </c>
      <c r="ER441" s="1768">
        <v>0</v>
      </c>
      <c r="ES441" s="1768">
        <v>0</v>
      </c>
      <c r="ET441" s="1768">
        <v>0</v>
      </c>
      <c r="EU441" s="1768">
        <v>0</v>
      </c>
      <c r="EV441" s="1768">
        <v>216</v>
      </c>
      <c r="EW441" s="1768">
        <v>0</v>
      </c>
      <c r="EX441" s="1768">
        <v>0</v>
      </c>
      <c r="EY441" s="1768">
        <v>0</v>
      </c>
      <c r="EZ441" s="1768"/>
      <c r="FA441" s="1768">
        <v>0</v>
      </c>
      <c r="FB441" s="1768"/>
      <c r="FC441" s="1768"/>
      <c r="FD441" s="1768"/>
      <c r="FE441" s="1768"/>
      <c r="FF441" s="1768">
        <v>0</v>
      </c>
      <c r="FG441" s="1768">
        <v>0</v>
      </c>
      <c r="FH441" s="1768">
        <v>0</v>
      </c>
      <c r="FI441" s="1768">
        <v>0</v>
      </c>
    </row>
    <row r="442" spans="1:165">
      <c r="A442" s="1768">
        <v>442</v>
      </c>
      <c r="B442" s="1768" t="s">
        <v>2374</v>
      </c>
      <c r="C442" s="1768" t="s">
        <v>2352</v>
      </c>
      <c r="D442" s="1768" t="s">
        <v>2363</v>
      </c>
      <c r="E442" s="1768" t="s">
        <v>892</v>
      </c>
      <c r="F442" s="1768" t="s">
        <v>2373</v>
      </c>
      <c r="G442" s="1768" t="s">
        <v>2371</v>
      </c>
      <c r="H442" s="1768" t="s">
        <v>1237</v>
      </c>
      <c r="I442" s="1768" t="s">
        <v>1237</v>
      </c>
      <c r="J442" s="1768" t="s">
        <v>2353</v>
      </c>
      <c r="K442" s="1769">
        <v>44774</v>
      </c>
      <c r="L442" s="1768">
        <v>0</v>
      </c>
      <c r="M442" s="1768">
        <v>0</v>
      </c>
      <c r="N442" s="1768">
        <v>0</v>
      </c>
      <c r="O442" s="1768">
        <v>0</v>
      </c>
      <c r="P442" s="1768">
        <v>0</v>
      </c>
      <c r="Q442" s="1768">
        <v>0</v>
      </c>
      <c r="R442" s="1768"/>
      <c r="S442" s="1768"/>
      <c r="T442" s="1768"/>
      <c r="U442" s="1768"/>
      <c r="V442" s="1768"/>
      <c r="W442" s="1768"/>
      <c r="X442" s="1768"/>
      <c r="Y442" s="1768"/>
      <c r="Z442" s="1768"/>
      <c r="AA442" s="1768">
        <v>0</v>
      </c>
      <c r="AB442" s="1768"/>
      <c r="AC442" s="1768"/>
      <c r="AD442" s="1768"/>
      <c r="AE442" s="1768"/>
      <c r="AF442" s="1768"/>
      <c r="AG442" s="1768"/>
      <c r="AH442" s="1768"/>
      <c r="AI442" s="1768"/>
      <c r="AJ442" s="1768"/>
      <c r="AK442" s="1768"/>
      <c r="AL442" s="1768"/>
      <c r="AM442" s="1768"/>
      <c r="AN442" s="1768"/>
      <c r="AO442" s="1768"/>
      <c r="AP442" s="1768"/>
      <c r="AQ442" s="1768"/>
      <c r="AR442" s="1768"/>
      <c r="AS442" s="1768"/>
      <c r="AT442" s="1768"/>
      <c r="AU442" s="1768"/>
      <c r="AV442" s="1768"/>
      <c r="AW442" s="1768"/>
      <c r="AX442" s="1768"/>
      <c r="AY442" s="1768"/>
      <c r="AZ442" s="1768">
        <v>0</v>
      </c>
      <c r="BA442" s="1768"/>
      <c r="BB442" s="1768"/>
      <c r="BC442" s="1768"/>
      <c r="BD442" s="1768"/>
      <c r="BE442" s="1768"/>
      <c r="BF442" s="1768"/>
      <c r="BG442" s="1768"/>
      <c r="BH442" s="1768"/>
      <c r="BI442" s="1768">
        <v>0</v>
      </c>
      <c r="BJ442" s="1768">
        <v>0</v>
      </c>
      <c r="BK442" s="1768">
        <v>44.5</v>
      </c>
      <c r="BL442" s="1768">
        <v>3</v>
      </c>
      <c r="BM442" s="1768"/>
      <c r="BN442" s="1768"/>
      <c r="BO442" s="1768"/>
      <c r="BP442" s="1768"/>
      <c r="BQ442" s="1768"/>
      <c r="BR442" s="1768"/>
      <c r="BS442" s="1768"/>
      <c r="BT442" s="1768"/>
      <c r="BU442" s="1768"/>
      <c r="BV442" s="1768"/>
      <c r="BW442" s="1768"/>
      <c r="BX442" s="1768"/>
      <c r="BY442" s="1768"/>
      <c r="BZ442" s="1768"/>
      <c r="CA442" s="1768"/>
      <c r="CB442" s="1768"/>
      <c r="CC442" s="1768"/>
      <c r="CD442" s="1768"/>
      <c r="CE442" s="1768"/>
      <c r="CF442" s="1768"/>
      <c r="CG442" s="1768"/>
      <c r="CH442" s="1768"/>
      <c r="CI442" s="1768"/>
      <c r="CJ442" s="1768">
        <v>-0.03</v>
      </c>
      <c r="CK442" s="1768"/>
      <c r="CL442" s="1768"/>
      <c r="CM442" s="1768"/>
      <c r="CN442" s="1768"/>
      <c r="CO442" s="1768">
        <v>0</v>
      </c>
      <c r="CP442" s="1768">
        <v>0</v>
      </c>
      <c r="CQ442" s="1768">
        <v>31</v>
      </c>
      <c r="CR442" s="1768"/>
      <c r="CS442" s="1768"/>
      <c r="CT442" s="1768"/>
      <c r="CU442" s="1768"/>
      <c r="CV442" s="1768"/>
      <c r="CW442" s="1768"/>
      <c r="CX442" s="1768"/>
      <c r="CY442" s="1768"/>
      <c r="CZ442" s="1768"/>
      <c r="DA442" s="1768"/>
      <c r="DB442" s="1768"/>
      <c r="DC442" s="1768"/>
      <c r="DD442" s="1768"/>
      <c r="DE442" s="1768"/>
      <c r="DF442" s="1768"/>
      <c r="DG442" s="1768"/>
      <c r="DH442" s="1768"/>
      <c r="DI442" s="1768"/>
      <c r="DJ442" s="1768"/>
      <c r="DK442" s="1768">
        <v>0</v>
      </c>
      <c r="DL442" s="1768"/>
      <c r="DM442" s="1768"/>
      <c r="DN442" s="1768"/>
      <c r="DO442" s="1768"/>
      <c r="DP442" s="1768"/>
      <c r="DQ442" s="1768"/>
      <c r="DR442" s="1768"/>
      <c r="DS442" s="1768"/>
      <c r="DT442" s="1768"/>
      <c r="DU442" s="1768"/>
      <c r="DV442" s="1768"/>
      <c r="DW442" s="1768"/>
      <c r="DX442" s="1768"/>
      <c r="DY442" s="1768"/>
      <c r="DZ442" s="1768"/>
      <c r="EA442" s="1768"/>
      <c r="EB442" s="1768"/>
      <c r="EC442" s="1768"/>
      <c r="ED442" s="1768"/>
      <c r="EE442" s="1768"/>
      <c r="EF442" s="1768"/>
      <c r="EG442" s="1768"/>
      <c r="EH442" s="1768"/>
      <c r="EI442" s="1768"/>
      <c r="EJ442" s="1768"/>
      <c r="EK442" s="1768"/>
      <c r="EL442" s="1768"/>
      <c r="EM442" s="1768"/>
      <c r="EN442" s="1768"/>
      <c r="EO442" s="1768"/>
      <c r="EP442" s="1768"/>
      <c r="EQ442" s="1768"/>
      <c r="ER442" s="1768"/>
      <c r="ES442" s="1768"/>
      <c r="ET442" s="1768"/>
      <c r="EU442" s="1768"/>
      <c r="EV442" s="1768">
        <v>216</v>
      </c>
      <c r="EW442" s="1768"/>
      <c r="EX442" s="1768"/>
      <c r="EY442" s="1768"/>
      <c r="EZ442" s="1768"/>
      <c r="FA442" s="1768">
        <v>0</v>
      </c>
      <c r="FB442" s="1768"/>
      <c r="FC442" s="1768"/>
      <c r="FD442" s="1768"/>
      <c r="FE442" s="1768"/>
      <c r="FF442" s="1768">
        <v>0</v>
      </c>
      <c r="FG442" s="1768">
        <v>0</v>
      </c>
      <c r="FH442" s="1768">
        <v>0</v>
      </c>
      <c r="FI442" s="1768">
        <v>0</v>
      </c>
    </row>
    <row r="443" spans="1:165">
      <c r="A443" s="1768">
        <v>443</v>
      </c>
      <c r="B443" s="1768" t="s">
        <v>2374</v>
      </c>
      <c r="C443" s="1768" t="s">
        <v>2352</v>
      </c>
      <c r="D443" s="1768" t="s">
        <v>2363</v>
      </c>
      <c r="E443" s="1768" t="s">
        <v>892</v>
      </c>
      <c r="F443" s="1768" t="s">
        <v>2373</v>
      </c>
      <c r="G443" s="1768" t="s">
        <v>2371</v>
      </c>
      <c r="H443" s="1768" t="s">
        <v>1237</v>
      </c>
      <c r="I443" s="1768" t="s">
        <v>1237</v>
      </c>
      <c r="J443" s="1768" t="s">
        <v>2353</v>
      </c>
      <c r="K443" s="1769">
        <v>44774</v>
      </c>
      <c r="L443" s="1768">
        <v>0</v>
      </c>
      <c r="M443" s="1768">
        <v>0</v>
      </c>
      <c r="N443" s="1768">
        <v>0.16</v>
      </c>
      <c r="O443" s="1768">
        <v>0.16</v>
      </c>
      <c r="P443" s="1768">
        <v>0.16</v>
      </c>
      <c r="Q443" s="1768">
        <v>0.16</v>
      </c>
      <c r="R443" s="1768"/>
      <c r="S443" s="1768">
        <v>415.98</v>
      </c>
      <c r="T443" s="1768">
        <v>215.17</v>
      </c>
      <c r="U443" s="1768"/>
      <c r="V443" s="1768">
        <v>100.98400000000001</v>
      </c>
      <c r="W443" s="1768">
        <v>100.98400000000001</v>
      </c>
      <c r="X443" s="1768">
        <v>87.766400000000004</v>
      </c>
      <c r="Y443" s="1768">
        <v>0</v>
      </c>
      <c r="Z443" s="1768">
        <v>9.7738556950699529</v>
      </c>
      <c r="AA443" s="1768">
        <v>0</v>
      </c>
      <c r="AB443" s="1768">
        <v>0</v>
      </c>
      <c r="AC443" s="1768">
        <v>0</v>
      </c>
      <c r="AD443" s="1768">
        <v>14.290492384815984</v>
      </c>
      <c r="AE443" s="1768">
        <v>40.449678687485601</v>
      </c>
      <c r="AF443" s="1768">
        <v>33.721910013545759</v>
      </c>
      <c r="AG443" s="1768">
        <v>0.70511590959628967</v>
      </c>
      <c r="AH443" s="1768">
        <v>0</v>
      </c>
      <c r="AI443" s="1768">
        <v>0</v>
      </c>
      <c r="AJ443" s="1768">
        <v>0</v>
      </c>
      <c r="AK443" s="1768">
        <v>0</v>
      </c>
      <c r="AL443" s="1768">
        <v>1.5103114171824512</v>
      </c>
      <c r="AM443" s="1768"/>
      <c r="AN443" s="1768">
        <v>0.1883835966144656</v>
      </c>
      <c r="AO443" s="1768">
        <v>0</v>
      </c>
      <c r="AP443" s="1768">
        <v>0</v>
      </c>
      <c r="AQ443" s="1768">
        <v>0</v>
      </c>
      <c r="AR443" s="1768">
        <v>0</v>
      </c>
      <c r="AS443" s="1768">
        <v>0</v>
      </c>
      <c r="AT443" s="1768">
        <v>0</v>
      </c>
      <c r="AU443" s="1768">
        <v>0</v>
      </c>
      <c r="AV443" s="1768">
        <v>0</v>
      </c>
      <c r="AW443" s="1768">
        <v>0</v>
      </c>
      <c r="AX443" s="1768">
        <v>0</v>
      </c>
      <c r="AY443" s="1768">
        <v>0</v>
      </c>
      <c r="AZ443" s="1768">
        <v>0</v>
      </c>
      <c r="BA443" s="1768"/>
      <c r="BB443" s="1768">
        <v>0</v>
      </c>
      <c r="BC443" s="1768">
        <v>0</v>
      </c>
      <c r="BD443" s="1768">
        <v>0</v>
      </c>
      <c r="BE443" s="1768">
        <v>0</v>
      </c>
      <c r="BF443" s="1768">
        <v>0</v>
      </c>
      <c r="BG443" s="1768">
        <v>0.34430952691573119</v>
      </c>
      <c r="BH443" s="1768">
        <v>0</v>
      </c>
      <c r="BI443" s="1768">
        <v>0</v>
      </c>
      <c r="BJ443" s="1768">
        <v>0</v>
      </c>
      <c r="BK443" s="1768">
        <v>0</v>
      </c>
      <c r="BL443" s="1768">
        <v>0</v>
      </c>
      <c r="BM443" s="1768"/>
      <c r="BN443" s="1768"/>
      <c r="BO443" s="1768"/>
      <c r="BP443" s="1768"/>
      <c r="BQ443" s="1768"/>
      <c r="BR443" s="1768">
        <v>10.531199999999998</v>
      </c>
      <c r="BS443" s="1768"/>
      <c r="BT443" s="1768"/>
      <c r="BU443" s="1768"/>
      <c r="BV443" s="1768">
        <v>34.066219540461489</v>
      </c>
      <c r="BW443" s="1768"/>
      <c r="BX443" s="1768"/>
      <c r="BY443" s="1768"/>
      <c r="BZ443" s="1768"/>
      <c r="CA443" s="1768"/>
      <c r="CB443" s="1768"/>
      <c r="CC443" s="1768"/>
      <c r="CD443" s="1768"/>
      <c r="CE443" s="1768"/>
      <c r="CF443" s="1768"/>
      <c r="CG443" s="1768"/>
      <c r="CH443" s="1768"/>
      <c r="CI443" s="1768">
        <v>77.235200000000006</v>
      </c>
      <c r="CJ443" s="1768">
        <v>-11.660399999999996</v>
      </c>
      <c r="CK443" s="1768"/>
      <c r="CL443" s="1768"/>
      <c r="CM443" s="1768"/>
      <c r="CN443" s="1768"/>
      <c r="CO443" s="1768">
        <v>-17.566400000000005</v>
      </c>
      <c r="CP443" s="1768">
        <v>4.3488000000000016</v>
      </c>
      <c r="CQ443" s="1768">
        <v>31</v>
      </c>
      <c r="CR443" s="1768">
        <v>4.530222997613933</v>
      </c>
      <c r="CS443" s="1768">
        <v>0</v>
      </c>
      <c r="CT443" s="1768">
        <v>0</v>
      </c>
      <c r="CU443" s="1768">
        <v>0</v>
      </c>
      <c r="CV443" s="1768">
        <v>0</v>
      </c>
      <c r="CW443" s="1768">
        <v>0</v>
      </c>
      <c r="CX443" s="1768">
        <v>0</v>
      </c>
      <c r="CY443" s="1768">
        <v>0</v>
      </c>
      <c r="CZ443" s="1768">
        <v>0.5948014747576007</v>
      </c>
      <c r="DA443" s="1768">
        <v>0</v>
      </c>
      <c r="DB443" s="1768">
        <v>0</v>
      </c>
      <c r="DC443" s="1768">
        <v>4.3487176126651192</v>
      </c>
      <c r="DD443" s="1768">
        <v>0</v>
      </c>
      <c r="DE443" s="1768">
        <v>0</v>
      </c>
      <c r="DF443" s="1768">
        <v>0</v>
      </c>
      <c r="DG443" s="1768">
        <v>4.4401544968995232E-2</v>
      </c>
      <c r="DH443" s="1768">
        <v>0</v>
      </c>
      <c r="DI443" s="1768">
        <v>-0.39739517311411277</v>
      </c>
      <c r="DJ443" s="1768"/>
      <c r="DK443" s="1768">
        <v>0</v>
      </c>
      <c r="DL443" s="1768">
        <v>0</v>
      </c>
      <c r="DM443" s="1768">
        <v>0</v>
      </c>
      <c r="DN443" s="1768">
        <v>0</v>
      </c>
      <c r="DO443" s="1768">
        <v>-4.8021164906476788E-2</v>
      </c>
      <c r="DP443" s="1768">
        <v>-1.228129675719683E-2</v>
      </c>
      <c r="DQ443" s="1768">
        <v>0</v>
      </c>
      <c r="DR443" s="1768">
        <v>0</v>
      </c>
      <c r="DS443" s="1768"/>
      <c r="DT443" s="1768"/>
      <c r="DU443" s="1768"/>
      <c r="DV443" s="1768">
        <v>40.449678687485601</v>
      </c>
      <c r="DW443" s="1768">
        <v>0</v>
      </c>
      <c r="DX443" s="1768">
        <v>0</v>
      </c>
      <c r="DY443" s="1768">
        <v>-17.566400000000009</v>
      </c>
      <c r="DZ443" s="1768">
        <v>4.3488000000000042</v>
      </c>
      <c r="EA443" s="1768">
        <v>0</v>
      </c>
      <c r="EB443" s="1768">
        <v>0</v>
      </c>
      <c r="EC443" s="1768">
        <v>-17.748198810700799</v>
      </c>
      <c r="ED443" s="1768">
        <v>0</v>
      </c>
      <c r="EE443" s="1768">
        <v>0</v>
      </c>
      <c r="EF443" s="1768">
        <v>0</v>
      </c>
      <c r="EG443" s="1768">
        <v>0</v>
      </c>
      <c r="EH443" s="1768">
        <v>0</v>
      </c>
      <c r="EI443" s="1768">
        <v>0</v>
      </c>
      <c r="EJ443" s="1768">
        <v>0</v>
      </c>
      <c r="EK443" s="1768">
        <v>0</v>
      </c>
      <c r="EL443" s="1768">
        <v>0</v>
      </c>
      <c r="EM443" s="1768">
        <v>0</v>
      </c>
      <c r="EN443" s="1768">
        <v>0</v>
      </c>
      <c r="EO443" s="1768">
        <v>0</v>
      </c>
      <c r="EP443" s="1768">
        <v>0</v>
      </c>
      <c r="EQ443" s="1768">
        <v>0</v>
      </c>
      <c r="ER443" s="1768">
        <v>0</v>
      </c>
      <c r="ES443" s="1768">
        <v>0</v>
      </c>
      <c r="ET443" s="1768">
        <v>0</v>
      </c>
      <c r="EU443" s="1768">
        <v>0</v>
      </c>
      <c r="EV443" s="1768">
        <v>216</v>
      </c>
      <c r="EW443" s="1768">
        <v>0</v>
      </c>
      <c r="EX443" s="1768">
        <v>0</v>
      </c>
      <c r="EY443" s="1768">
        <v>0</v>
      </c>
      <c r="EZ443" s="1768"/>
      <c r="FA443" s="1768">
        <v>0</v>
      </c>
      <c r="FB443" s="1768"/>
      <c r="FC443" s="1768"/>
      <c r="FD443" s="1768"/>
      <c r="FE443" s="1768"/>
      <c r="FF443" s="1768">
        <v>0</v>
      </c>
      <c r="FG443" s="1768">
        <v>0</v>
      </c>
      <c r="FH443" s="1768">
        <v>0</v>
      </c>
      <c r="FI443" s="1768">
        <v>0</v>
      </c>
    </row>
    <row r="444" spans="1:165">
      <c r="A444" s="1768">
        <v>444</v>
      </c>
      <c r="B444" s="1768" t="s">
        <v>2374</v>
      </c>
      <c r="C444" s="1768" t="s">
        <v>2352</v>
      </c>
      <c r="D444" s="1768" t="s">
        <v>2363</v>
      </c>
      <c r="E444" s="1768" t="s">
        <v>892</v>
      </c>
      <c r="F444" s="1768" t="s">
        <v>2373</v>
      </c>
      <c r="G444" s="1768" t="s">
        <v>2372</v>
      </c>
      <c r="H444" s="1768" t="s">
        <v>1237</v>
      </c>
      <c r="I444" s="1768" t="s">
        <v>1237</v>
      </c>
      <c r="J444" s="1768" t="s">
        <v>2353</v>
      </c>
      <c r="K444" s="1769">
        <v>44774</v>
      </c>
      <c r="L444" s="1768">
        <v>0</v>
      </c>
      <c r="M444" s="1768">
        <v>0</v>
      </c>
      <c r="N444" s="1768">
        <v>0.435</v>
      </c>
      <c r="O444" s="1768">
        <v>0.17399999999999999</v>
      </c>
      <c r="P444" s="1768">
        <v>0.435</v>
      </c>
      <c r="Q444" s="1768">
        <v>0.17399999999999999</v>
      </c>
      <c r="R444" s="1768"/>
      <c r="S444" s="1768">
        <v>415.98</v>
      </c>
      <c r="T444" s="1768">
        <v>215.17</v>
      </c>
      <c r="U444" s="1768"/>
      <c r="V444" s="1768">
        <v>274.55025000000001</v>
      </c>
      <c r="W444" s="1768">
        <v>274.55025000000001</v>
      </c>
      <c r="X444" s="1768">
        <v>238.61489999999998</v>
      </c>
      <c r="Y444" s="1768">
        <v>0</v>
      </c>
      <c r="Z444" s="1768">
        <v>26.572670170971431</v>
      </c>
      <c r="AA444" s="1768">
        <v>0</v>
      </c>
      <c r="AB444" s="1768">
        <v>0</v>
      </c>
      <c r="AC444" s="1768">
        <v>0</v>
      </c>
      <c r="AD444" s="1768">
        <v>38.852276171218456</v>
      </c>
      <c r="AE444" s="1768">
        <v>109.97256393160147</v>
      </c>
      <c r="AF444" s="1768">
        <v>91.681442849327539</v>
      </c>
      <c r="AG444" s="1768">
        <v>1.9170338792149124</v>
      </c>
      <c r="AH444" s="1768">
        <v>0</v>
      </c>
      <c r="AI444" s="1768">
        <v>0</v>
      </c>
      <c r="AJ444" s="1768">
        <v>0</v>
      </c>
      <c r="AK444" s="1768">
        <v>0</v>
      </c>
      <c r="AL444" s="1768">
        <v>4.1061591654647893</v>
      </c>
      <c r="AM444" s="1768"/>
      <c r="AN444" s="1768">
        <v>0.51216790329557838</v>
      </c>
      <c r="AO444" s="1768">
        <v>0</v>
      </c>
      <c r="AP444" s="1768">
        <v>0</v>
      </c>
      <c r="AQ444" s="1768">
        <v>0</v>
      </c>
      <c r="AR444" s="1768">
        <v>0</v>
      </c>
      <c r="AS444" s="1768">
        <v>0</v>
      </c>
      <c r="AT444" s="1768">
        <v>0</v>
      </c>
      <c r="AU444" s="1768">
        <v>0</v>
      </c>
      <c r="AV444" s="1768">
        <v>0</v>
      </c>
      <c r="AW444" s="1768">
        <v>0</v>
      </c>
      <c r="AX444" s="1768">
        <v>0</v>
      </c>
      <c r="AY444" s="1768">
        <v>0</v>
      </c>
      <c r="AZ444" s="1768">
        <v>0</v>
      </c>
      <c r="BA444" s="1768"/>
      <c r="BB444" s="1768">
        <v>0</v>
      </c>
      <c r="BC444" s="1768">
        <v>0</v>
      </c>
      <c r="BD444" s="1768">
        <v>0</v>
      </c>
      <c r="BE444" s="1768">
        <v>0</v>
      </c>
      <c r="BF444" s="1768">
        <v>0</v>
      </c>
      <c r="BG444" s="1768">
        <v>0.93609152630214409</v>
      </c>
      <c r="BH444" s="1768">
        <v>0</v>
      </c>
      <c r="BI444" s="1768">
        <v>0</v>
      </c>
      <c r="BJ444" s="1768">
        <v>0</v>
      </c>
      <c r="BK444" s="1768">
        <v>0</v>
      </c>
      <c r="BL444" s="1768">
        <v>0</v>
      </c>
      <c r="BM444" s="1768"/>
      <c r="BN444" s="1768"/>
      <c r="BO444" s="1768"/>
      <c r="BP444" s="1768"/>
      <c r="BQ444" s="1768"/>
      <c r="BR444" s="1768"/>
      <c r="BS444" s="1768">
        <v>154.62162000000001</v>
      </c>
      <c r="BT444" s="1768"/>
      <c r="BU444" s="1768"/>
      <c r="BV444" s="1768">
        <v>92.617534375629688</v>
      </c>
      <c r="BW444" s="1768"/>
      <c r="BX444" s="1768"/>
      <c r="BY444" s="1768"/>
      <c r="BZ444" s="1768"/>
      <c r="CA444" s="1768"/>
      <c r="CB444" s="1768"/>
      <c r="CC444" s="1768"/>
      <c r="CD444" s="1768"/>
      <c r="CE444" s="1768"/>
      <c r="CF444" s="1768"/>
      <c r="CG444" s="1768"/>
      <c r="CH444" s="1768"/>
      <c r="CI444" s="1768">
        <v>82.062399999999997</v>
      </c>
      <c r="CJ444" s="1768">
        <v>-14.608940000000004</v>
      </c>
      <c r="CK444" s="1768"/>
      <c r="CL444" s="1768"/>
      <c r="CM444" s="1768"/>
      <c r="CN444" s="1768"/>
      <c r="CO444" s="1768">
        <v>-47.75865000000001</v>
      </c>
      <c r="CP444" s="1768">
        <v>11.823300000000003</v>
      </c>
      <c r="CQ444" s="1768">
        <v>31</v>
      </c>
      <c r="CR444" s="1768">
        <v>12.316543774762806</v>
      </c>
      <c r="CS444" s="1768">
        <v>0</v>
      </c>
      <c r="CT444" s="1768">
        <v>0</v>
      </c>
      <c r="CU444" s="1768">
        <v>0</v>
      </c>
      <c r="CV444" s="1768">
        <v>0</v>
      </c>
      <c r="CW444" s="1768">
        <v>0</v>
      </c>
      <c r="CX444" s="1768">
        <v>0</v>
      </c>
      <c r="CY444" s="1768">
        <v>0</v>
      </c>
      <c r="CZ444" s="1768">
        <v>1.6171165094972295</v>
      </c>
      <c r="DA444" s="1768">
        <v>0</v>
      </c>
      <c r="DB444" s="1768">
        <v>0</v>
      </c>
      <c r="DC444" s="1768">
        <v>11.823076009433294</v>
      </c>
      <c r="DD444" s="1768">
        <v>0</v>
      </c>
      <c r="DE444" s="1768">
        <v>0</v>
      </c>
      <c r="DF444" s="1768">
        <v>0</v>
      </c>
      <c r="DG444" s="1768">
        <v>0.12071670038445581</v>
      </c>
      <c r="DH444" s="1768">
        <v>0</v>
      </c>
      <c r="DI444" s="1768">
        <v>-1.0804181269039894</v>
      </c>
      <c r="DJ444" s="1768"/>
      <c r="DK444" s="1768">
        <v>0</v>
      </c>
      <c r="DL444" s="1768">
        <v>0</v>
      </c>
      <c r="DM444" s="1768">
        <v>0</v>
      </c>
      <c r="DN444" s="1768">
        <v>0</v>
      </c>
      <c r="DO444" s="1768">
        <v>-0.13055754208948356</v>
      </c>
      <c r="DP444" s="1768">
        <v>-3.3389775558628876E-2</v>
      </c>
      <c r="DQ444" s="1768">
        <v>0</v>
      </c>
      <c r="DR444" s="1768">
        <v>0</v>
      </c>
      <c r="DS444" s="1768"/>
      <c r="DT444" s="1768"/>
      <c r="DU444" s="1768"/>
      <c r="DV444" s="1768">
        <v>109.97256393160147</v>
      </c>
      <c r="DW444" s="1768">
        <v>0</v>
      </c>
      <c r="DX444" s="1768">
        <v>0</v>
      </c>
      <c r="DY444" s="1768">
        <v>-47.758650000000017</v>
      </c>
      <c r="DZ444" s="1768">
        <v>11.823300000000003</v>
      </c>
      <c r="EA444" s="1768">
        <v>0</v>
      </c>
      <c r="EB444" s="1768">
        <v>0</v>
      </c>
      <c r="EC444" s="1768">
        <v>-48.252915516592793</v>
      </c>
      <c r="ED444" s="1768">
        <v>0</v>
      </c>
      <c r="EE444" s="1768">
        <v>0</v>
      </c>
      <c r="EF444" s="1768">
        <v>0</v>
      </c>
      <c r="EG444" s="1768">
        <v>0</v>
      </c>
      <c r="EH444" s="1768">
        <v>0</v>
      </c>
      <c r="EI444" s="1768">
        <v>0</v>
      </c>
      <c r="EJ444" s="1768">
        <v>0</v>
      </c>
      <c r="EK444" s="1768">
        <v>0</v>
      </c>
      <c r="EL444" s="1768">
        <v>0</v>
      </c>
      <c r="EM444" s="1768">
        <v>0</v>
      </c>
      <c r="EN444" s="1768">
        <v>0</v>
      </c>
      <c r="EO444" s="1768">
        <v>0</v>
      </c>
      <c r="EP444" s="1768">
        <v>0</v>
      </c>
      <c r="EQ444" s="1768">
        <v>0</v>
      </c>
      <c r="ER444" s="1768">
        <v>0</v>
      </c>
      <c r="ES444" s="1768">
        <v>0</v>
      </c>
      <c r="ET444" s="1768">
        <v>0</v>
      </c>
      <c r="EU444" s="1768">
        <v>0</v>
      </c>
      <c r="EV444" s="1768">
        <v>216</v>
      </c>
      <c r="EW444" s="1768">
        <v>0</v>
      </c>
      <c r="EX444" s="1768">
        <v>0</v>
      </c>
      <c r="EY444" s="1768">
        <v>0</v>
      </c>
      <c r="EZ444" s="1768"/>
      <c r="FA444" s="1768">
        <v>0</v>
      </c>
      <c r="FB444" s="1768"/>
      <c r="FC444" s="1768"/>
      <c r="FD444" s="1768"/>
      <c r="FE444" s="1768"/>
      <c r="FF444" s="1768">
        <v>0</v>
      </c>
      <c r="FG444" s="1768">
        <v>0</v>
      </c>
      <c r="FH444" s="1768">
        <v>0</v>
      </c>
      <c r="FI444" s="1768">
        <v>0</v>
      </c>
    </row>
    <row r="445" spans="1:165">
      <c r="K445" s="261"/>
      <c r="L445" s="261"/>
      <c r="M445" s="261"/>
      <c r="N445" s="261"/>
      <c r="O445" s="261"/>
      <c r="P445" s="261"/>
      <c r="Q445" s="261"/>
      <c r="BR445" s="261"/>
      <c r="BS445" s="261"/>
      <c r="BT445" s="261"/>
      <c r="BU445" s="261"/>
      <c r="BV445" s="261"/>
      <c r="CJ445" s="261"/>
      <c r="CO445" s="261"/>
      <c r="CP445" s="261"/>
      <c r="CQ445" s="261"/>
      <c r="CR445" s="261"/>
      <c r="CS445" s="261"/>
      <c r="CT445" s="261"/>
      <c r="CU445" s="261"/>
      <c r="CV445" s="261"/>
      <c r="CW445" s="261"/>
      <c r="CX445" s="261"/>
      <c r="CY445" s="261"/>
      <c r="CZ445" s="261"/>
      <c r="DA445" s="261"/>
      <c r="DB445" s="261"/>
      <c r="DC445" s="261"/>
      <c r="DD445" s="261"/>
      <c r="DE445" s="261"/>
      <c r="DF445" s="261"/>
      <c r="DG445" s="261"/>
      <c r="DH445" s="261"/>
      <c r="DI445" s="261"/>
      <c r="DJ445" s="261"/>
      <c r="DK445" s="261"/>
      <c r="DL445" s="261"/>
      <c r="DM445" s="261"/>
      <c r="DN445" s="261"/>
      <c r="DO445" s="261"/>
      <c r="DP445" s="261"/>
      <c r="DQ445" s="261"/>
      <c r="DR445" s="261"/>
      <c r="DS445" s="261"/>
      <c r="DY445" s="261"/>
      <c r="EC445" s="261"/>
      <c r="EP445" s="261"/>
    </row>
    <row r="446" spans="1:165">
      <c r="K446" s="261"/>
      <c r="L446" s="261"/>
      <c r="M446" s="261"/>
      <c r="N446" s="261"/>
      <c r="O446" s="261"/>
      <c r="P446" s="261"/>
      <c r="Q446" s="261"/>
      <c r="BR446" s="261"/>
      <c r="BS446" s="261"/>
      <c r="BT446" s="261"/>
      <c r="BU446" s="261"/>
      <c r="BV446" s="261"/>
      <c r="CJ446" s="261"/>
      <c r="CO446" s="261"/>
      <c r="CP446" s="261"/>
      <c r="CQ446" s="261"/>
      <c r="CR446" s="261"/>
      <c r="CS446" s="261"/>
      <c r="CT446" s="261"/>
      <c r="CU446" s="261"/>
      <c r="CV446" s="261"/>
      <c r="CW446" s="261"/>
      <c r="CX446" s="261"/>
      <c r="CY446" s="261"/>
      <c r="CZ446" s="261"/>
      <c r="DA446" s="261"/>
      <c r="DB446" s="261"/>
      <c r="DC446" s="261"/>
      <c r="DD446" s="261"/>
      <c r="DE446" s="261"/>
      <c r="DF446" s="261"/>
      <c r="DG446" s="261"/>
      <c r="DH446" s="261"/>
      <c r="DI446" s="261"/>
      <c r="DJ446" s="261"/>
      <c r="DK446" s="261"/>
      <c r="DL446" s="261"/>
      <c r="DM446" s="261"/>
      <c r="DN446" s="261"/>
      <c r="DO446" s="261"/>
      <c r="DP446" s="261"/>
      <c r="DQ446" s="261"/>
      <c r="DR446" s="261"/>
      <c r="DS446" s="261"/>
      <c r="DY446" s="261"/>
      <c r="EC446" s="261"/>
      <c r="EP446" s="261"/>
    </row>
    <row r="447" spans="1:165">
      <c r="K447" s="261"/>
      <c r="L447" s="261"/>
      <c r="M447" s="261"/>
      <c r="N447" s="261"/>
      <c r="O447" s="261"/>
      <c r="P447" s="261"/>
      <c r="Q447" s="261"/>
      <c r="BR447" s="261"/>
      <c r="BS447" s="261"/>
      <c r="BT447" s="261"/>
      <c r="BU447" s="261"/>
      <c r="BV447" s="261"/>
      <c r="CJ447" s="261"/>
      <c r="CO447" s="261"/>
      <c r="CP447" s="261"/>
      <c r="CQ447" s="261"/>
      <c r="CR447" s="261"/>
      <c r="CS447" s="261"/>
      <c r="CT447" s="261"/>
      <c r="CU447" s="261"/>
      <c r="CV447" s="261"/>
      <c r="CW447" s="261"/>
      <c r="CX447" s="261"/>
      <c r="CY447" s="261"/>
      <c r="CZ447" s="261"/>
      <c r="DA447" s="261"/>
      <c r="DB447" s="261"/>
      <c r="DC447" s="261"/>
      <c r="DD447" s="261"/>
      <c r="DE447" s="261"/>
      <c r="DF447" s="261"/>
      <c r="DG447" s="261"/>
      <c r="DH447" s="261"/>
      <c r="DI447" s="261"/>
      <c r="DJ447" s="261"/>
      <c r="DK447" s="261"/>
      <c r="DL447" s="261"/>
      <c r="DM447" s="261"/>
      <c r="DN447" s="261"/>
      <c r="DO447" s="261"/>
      <c r="DP447" s="261"/>
      <c r="DQ447" s="261"/>
      <c r="DR447" s="261"/>
      <c r="DS447" s="261"/>
      <c r="DY447" s="261"/>
      <c r="EC447" s="261"/>
      <c r="EP447" s="261"/>
    </row>
    <row r="448" spans="1:165">
      <c r="K448" s="261"/>
      <c r="L448" s="261"/>
      <c r="M448" s="261"/>
      <c r="N448" s="261"/>
      <c r="O448" s="261"/>
      <c r="P448" s="261"/>
      <c r="Q448" s="261"/>
      <c r="BR448" s="261"/>
      <c r="BS448" s="261"/>
      <c r="BT448" s="261"/>
      <c r="BU448" s="261"/>
      <c r="BV448" s="261"/>
      <c r="CJ448" s="261"/>
      <c r="CO448" s="261"/>
      <c r="CP448" s="261"/>
      <c r="CQ448" s="261"/>
      <c r="CR448" s="261"/>
      <c r="CS448" s="261"/>
      <c r="CT448" s="261"/>
      <c r="CU448" s="261"/>
      <c r="CV448" s="261"/>
      <c r="CW448" s="261"/>
      <c r="CX448" s="261"/>
      <c r="CY448" s="261"/>
      <c r="CZ448" s="261"/>
      <c r="DA448" s="261"/>
      <c r="DB448" s="261"/>
      <c r="DC448" s="261"/>
      <c r="DD448" s="261"/>
      <c r="DE448" s="261"/>
      <c r="DF448" s="261"/>
      <c r="DG448" s="261"/>
      <c r="DH448" s="261"/>
      <c r="DI448" s="261"/>
      <c r="DJ448" s="261"/>
      <c r="DK448" s="261"/>
      <c r="DL448" s="261"/>
      <c r="DM448" s="261"/>
      <c r="DN448" s="261"/>
      <c r="DO448" s="261"/>
      <c r="DP448" s="261"/>
      <c r="DQ448" s="261"/>
      <c r="DR448" s="261"/>
      <c r="DS448" s="261"/>
      <c r="DY448" s="261"/>
      <c r="EC448" s="261"/>
      <c r="EP448" s="261"/>
    </row>
    <row r="449" s="261" customFormat="1"/>
    <row r="450" s="261" customFormat="1"/>
    <row r="451" s="261" customFormat="1"/>
    <row r="452" s="261" customFormat="1"/>
    <row r="453" s="261" customFormat="1"/>
    <row r="454" s="261" customFormat="1"/>
    <row r="455" s="261" customFormat="1"/>
    <row r="456" s="261" customFormat="1"/>
    <row r="457" s="261" customFormat="1"/>
    <row r="458" s="261" customFormat="1"/>
    <row r="459" s="261" customFormat="1"/>
    <row r="460" s="261" customFormat="1"/>
    <row r="461" s="261" customFormat="1"/>
    <row r="462" s="261" customFormat="1"/>
    <row r="463" s="261" customFormat="1"/>
    <row r="464" s="261" customFormat="1"/>
    <row r="465" s="261" customFormat="1"/>
    <row r="466" s="261" customFormat="1"/>
    <row r="467" s="261" customFormat="1"/>
    <row r="468" s="261" customFormat="1"/>
    <row r="469" s="261" customFormat="1"/>
    <row r="470" s="261" customFormat="1"/>
    <row r="471" s="261" customFormat="1"/>
    <row r="472" s="261" customFormat="1"/>
    <row r="473" s="261" customFormat="1"/>
    <row r="474" s="261" customFormat="1"/>
    <row r="475" s="261" customFormat="1"/>
    <row r="476" s="261" customFormat="1"/>
    <row r="477" s="261" customFormat="1"/>
    <row r="478" s="261" customFormat="1"/>
    <row r="479" s="261" customFormat="1"/>
    <row r="480" s="261" customFormat="1"/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90"/>
  <sheetViews>
    <sheetView showGridLines="0" zoomScale="95" zoomScaleNormal="95" workbookViewId="0"/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.14062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1078</v>
      </c>
      <c r="C1" s="1019"/>
      <c r="D1" s="933"/>
      <c r="E1" s="933"/>
      <c r="F1" s="1129" t="s">
        <v>871</v>
      </c>
      <c r="G1" s="1130">
        <f ca="1">LnkTXTIRTEco</f>
        <v>0.1694</v>
      </c>
    </row>
    <row r="2" spans="2:19" ht="23.25" customHeight="1">
      <c r="B2" s="136" t="str">
        <f>CAPA!C9</f>
        <v>Cejama</v>
      </c>
      <c r="C2" s="70"/>
      <c r="D2" s="70"/>
      <c r="E2" s="70"/>
      <c r="F2" s="120" t="s">
        <v>875</v>
      </c>
      <c r="G2" s="121">
        <f ca="1">LnkTXTIRTTotal</f>
        <v>1.52E-2</v>
      </c>
    </row>
    <row r="3" spans="2:19" ht="16.5">
      <c r="B3" s="71" t="s">
        <v>682</v>
      </c>
      <c r="K3" s="71" t="s">
        <v>1079</v>
      </c>
      <c r="P3" s="9" t="s">
        <v>1080</v>
      </c>
    </row>
    <row r="4" spans="2:19">
      <c r="B4" s="1177" t="s">
        <v>776</v>
      </c>
      <c r="C4" s="1177" t="s">
        <v>693</v>
      </c>
      <c r="D4" s="1177" t="s">
        <v>694</v>
      </c>
      <c r="G4" s="68"/>
      <c r="H4" s="124"/>
      <c r="K4" s="1177" t="s">
        <v>893</v>
      </c>
      <c r="L4" s="1177" t="s">
        <v>693</v>
      </c>
      <c r="M4" s="1177" t="s">
        <v>896</v>
      </c>
      <c r="P4" s="68" t="s">
        <v>1081</v>
      </c>
    </row>
    <row r="5" spans="2:19">
      <c r="B5" s="1178" t="s">
        <v>1082</v>
      </c>
      <c r="C5" s="1179">
        <f ca="1">C6+C9</f>
        <v>43280.2892253389</v>
      </c>
      <c r="D5" s="1179">
        <f ca="1">SUM(D6,D9)</f>
        <v>43268.810156217063</v>
      </c>
      <c r="G5" s="68"/>
      <c r="K5" s="68" t="s">
        <v>779</v>
      </c>
      <c r="L5" s="92">
        <f ca="1">M5</f>
        <v>41304.089999999997</v>
      </c>
      <c r="M5" s="139">
        <f ca="1">FornecimentoE</f>
        <v>41304.089999999997</v>
      </c>
      <c r="P5" s="68" t="s">
        <v>1083</v>
      </c>
    </row>
    <row r="6" spans="2:19">
      <c r="B6" s="1180" t="s">
        <v>1084</v>
      </c>
      <c r="C6" s="1181">
        <f ca="1">LnkTXTEV</f>
        <v>41304.089999999997</v>
      </c>
      <c r="D6" s="1181">
        <f ca="1">SUM(D7:D8)</f>
        <v>41304.089999999997</v>
      </c>
      <c r="F6" s="1448">
        <f ca="1">C24/LnkTXTEV-1</f>
        <v>4.7567205964762271E-2</v>
      </c>
      <c r="G6" s="68"/>
      <c r="K6" s="68" t="s">
        <v>788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1085</v>
      </c>
    </row>
    <row r="7" spans="2:19">
      <c r="B7" s="143" t="s">
        <v>779</v>
      </c>
      <c r="C7" s="144">
        <f ca="1">LnkTXTF</f>
        <v>41304.089999999997</v>
      </c>
      <c r="D7" s="144">
        <f ca="1">M5</f>
        <v>41304.089999999997</v>
      </c>
      <c r="G7" s="68"/>
      <c r="K7" s="68" t="s">
        <v>1086</v>
      </c>
      <c r="L7" s="92">
        <f t="shared" ca="1" si="0"/>
        <v>0</v>
      </c>
      <c r="M7" s="139">
        <f ca="1">LivreE</f>
        <v>0</v>
      </c>
      <c r="P7" s="68" t="s">
        <v>1087</v>
      </c>
    </row>
    <row r="8" spans="2:19">
      <c r="B8" s="143" t="s">
        <v>788</v>
      </c>
      <c r="C8" s="144">
        <f ca="1">D8</f>
        <v>0</v>
      </c>
      <c r="D8" s="144">
        <f ca="1">M6</f>
        <v>0</v>
      </c>
      <c r="G8" s="68"/>
      <c r="K8" s="68" t="s">
        <v>876</v>
      </c>
      <c r="L8" s="92">
        <f t="shared" ca="1" si="0"/>
        <v>0</v>
      </c>
      <c r="M8" s="139">
        <f ca="1">LivreE_A1</f>
        <v>0</v>
      </c>
      <c r="P8" s="68" t="s">
        <v>1088</v>
      </c>
    </row>
    <row r="9" spans="2:19">
      <c r="B9" s="1180" t="s">
        <v>1089</v>
      </c>
      <c r="C9" s="1181">
        <f ca="1">SUM(C10:C13)</f>
        <v>1976.1992253389046</v>
      </c>
      <c r="D9" s="1181">
        <f ca="1">SUM(D10:D13)</f>
        <v>1964.7201562170678</v>
      </c>
      <c r="G9" s="68"/>
      <c r="K9" s="785" t="s">
        <v>1090</v>
      </c>
      <c r="L9" s="1553">
        <f t="shared" ca="1" si="0"/>
        <v>16319.413999999999</v>
      </c>
      <c r="M9" s="1182">
        <f ca="1">FornecimentoE_BT</f>
        <v>16319.413999999999</v>
      </c>
      <c r="P9" s="68" t="s">
        <v>1091</v>
      </c>
    </row>
    <row r="10" spans="2:19">
      <c r="B10" s="1189" t="s">
        <v>1107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1113</v>
      </c>
      <c r="C11" s="144">
        <f ca="1">L17</f>
        <v>284.04911621706771</v>
      </c>
      <c r="D11" s="144">
        <f ca="1">N17</f>
        <v>284.04911621706771</v>
      </c>
      <c r="G11" s="68"/>
      <c r="K11" s="71" t="s">
        <v>1093</v>
      </c>
      <c r="L11" s="71"/>
      <c r="M11" s="125"/>
      <c r="P11" s="68" t="s">
        <v>1094</v>
      </c>
      <c r="Q11" s="492">
        <f ca="1">M20/(D6+M20)</f>
        <v>5.0645582696550173E-2</v>
      </c>
      <c r="R11" s="69">
        <f ca="1">Q11*($M$24+LnkTXTGPM)</f>
        <v>0</v>
      </c>
    </row>
    <row r="12" spans="2:19">
      <c r="B12" s="143" t="s">
        <v>1092</v>
      </c>
      <c r="C12" s="144">
        <f ca="1">L18</f>
        <v>11.47906912183679</v>
      </c>
      <c r="D12" s="144">
        <f ca="1">N18</f>
        <v>11.47906912183679</v>
      </c>
      <c r="E12" s="72"/>
      <c r="G12" s="72"/>
      <c r="K12" s="145" t="s">
        <v>776</v>
      </c>
      <c r="L12" s="145" t="s">
        <v>693</v>
      </c>
      <c r="M12" s="1183" t="s">
        <v>1096</v>
      </c>
      <c r="N12" s="1184" t="s">
        <v>29</v>
      </c>
      <c r="P12" s="68" t="s">
        <v>1097</v>
      </c>
      <c r="Q12" s="393">
        <v>0.1389</v>
      </c>
      <c r="R12" s="69"/>
      <c r="S12" s="140"/>
    </row>
    <row r="13" spans="2:19">
      <c r="B13" s="143" t="s">
        <v>1095</v>
      </c>
      <c r="C13" s="144">
        <f ca="1">L18+L19</f>
        <v>1680.6710400000002</v>
      </c>
      <c r="D13" s="144">
        <f ca="1">N19</f>
        <v>1669.1919708781634</v>
      </c>
      <c r="E13" s="91"/>
      <c r="F13" s="91"/>
      <c r="G13" s="91"/>
      <c r="K13" s="68" t="s">
        <v>1099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1100</v>
      </c>
      <c r="Q13" s="492">
        <f ca="1">IF(Q11&lt;Q12,Q11,(IF(Q11=0,0,Q11*0.75+Q12*0.25)))</f>
        <v>5.0645582696550173E-2</v>
      </c>
      <c r="R13" s="69">
        <f ca="1">($M$5+$M$6-$M$8)*Q13/(1-Q13)</f>
        <v>2203.4654999999962</v>
      </c>
    </row>
    <row r="14" spans="2:19">
      <c r="B14" s="1185" t="s">
        <v>1098</v>
      </c>
      <c r="C14" s="1186">
        <f>VLOOKUP("custo Médio",DRA_CM_Perdas[#All],3,FALSE)</f>
        <v>208.11686383065501</v>
      </c>
      <c r="D14" s="1186">
        <f ca="1">IFERROR(E24,0)</f>
        <v>161.02307420479161</v>
      </c>
      <c r="E14" s="127"/>
      <c r="F14" s="127"/>
      <c r="G14" s="127"/>
      <c r="K14" s="68" t="s">
        <v>1102</v>
      </c>
      <c r="L14" s="393">
        <f>VLOOKUP("PERDAS TÉCNICAS",DRA_CM_Perdas[#All],3,FALSE)</f>
        <v>6.83005112162627E-3</v>
      </c>
      <c r="M14" s="393">
        <f>IF(CAPA!H29=0,CAPA!K34,CAPA!H29)</f>
        <v>6.83005112162627E-3</v>
      </c>
      <c r="N14" s="393">
        <f ca="1">IFERROR(N17/((M5+M6-M8+N16)+N17),0)</f>
        <v>6.83005112162627E-3</v>
      </c>
      <c r="P14" s="68" t="s">
        <v>1103</v>
      </c>
      <c r="Q14" s="492">
        <f ca="1">(M17+M16)/(M16+M17+M5+M6)</f>
        <v>6.83005112162627E-3</v>
      </c>
      <c r="R14" s="69">
        <f ca="1">IF(CAPA!H33="",(M5+M6-M8)/(1-M14)*M14,CAPA!H33)+IF(CAPA!H34="",M13*M9,CAPA!H34)</f>
        <v>284.04911621706771</v>
      </c>
    </row>
    <row r="15" spans="2:19">
      <c r="B15" s="1187" t="s">
        <v>1101</v>
      </c>
      <c r="C15" s="1188">
        <f ca="1">C14*C5</f>
        <v>9007358.0592612214</v>
      </c>
      <c r="D15" s="1188">
        <f ca="1">D14*D5</f>
        <v>6967276.8285375815</v>
      </c>
      <c r="E15" s="79"/>
      <c r="F15" s="72"/>
      <c r="G15" s="126"/>
      <c r="K15" s="785" t="s">
        <v>1104</v>
      </c>
      <c r="L15" s="1728">
        <f>VLOOKUP("PERDAS NA RB (sobre as perdas na D)",DRA_CM_Perdas[#All],3,FALSE)</f>
        <v>0</v>
      </c>
      <c r="M15" s="1449">
        <f>IF(CAPA!H31=0,0,CAPA!H31)</f>
        <v>0</v>
      </c>
      <c r="N15" s="1554">
        <f ca="1">IFERROR(M22/(M5+M6+M23+N17+N16),0)</f>
        <v>4.0412268394683516E-2</v>
      </c>
      <c r="P15" s="68" t="s">
        <v>1105</v>
      </c>
      <c r="Q15" s="79">
        <f ca="1">IF(Q14&lt;Q13,Q14,Q13)</f>
        <v>6.83005112162627E-3</v>
      </c>
      <c r="R15" s="69">
        <f ca="1">IF(R14&lt;R13,R14,R13)</f>
        <v>284.04911621706771</v>
      </c>
      <c r="S15" s="79">
        <f ca="1">R15/(M5+R15)</f>
        <v>6.83005112162627E-3</v>
      </c>
    </row>
    <row r="16" spans="2:19">
      <c r="K16" s="1189" t="s">
        <v>1107</v>
      </c>
      <c r="L16" s="1189">
        <f ca="1">L13*L9</f>
        <v>0</v>
      </c>
      <c r="M16" s="1189">
        <f ca="1">IF(CAPA!H34="",M13*M9,CAPA!H34)</f>
        <v>0</v>
      </c>
      <c r="N16" s="465">
        <f ca="1">IF($M$21&lt;$M$20,M16,($M$20/$M$21)*M16)</f>
        <v>0</v>
      </c>
      <c r="P16" s="140" t="s">
        <v>1108</v>
      </c>
      <c r="Q16" s="79">
        <f ca="1">IF(Q15&gt;Q12,Q12,Q15)</f>
        <v>6.83005112162627E-3</v>
      </c>
      <c r="R16" s="69">
        <f ca="1">($M$5+$M$6-$M$8+R15)*Q16</f>
        <v>284.04911621706771</v>
      </c>
    </row>
    <row r="17" spans="1:22">
      <c r="B17" s="128" t="s">
        <v>1106</v>
      </c>
      <c r="C17" s="129"/>
      <c r="D17" s="130"/>
      <c r="E17" s="130"/>
      <c r="F17" s="130"/>
      <c r="K17" s="139" t="s">
        <v>1113</v>
      </c>
      <c r="L17" s="139">
        <f ca="1">(L5+L6-L8+L16)/(1-L14)*L14</f>
        <v>284.04911621706771</v>
      </c>
      <c r="M17" s="139">
        <f ca="1">IF(CAPA!H33="",(M5+M6-M8+M16)/(1-M14)*M14,CAPA!H33)</f>
        <v>284.04911621706771</v>
      </c>
      <c r="N17" s="465">
        <f ca="1">IF($M$21&lt;$M$20,M17,($M$20/$M$21)*M17)+M23</f>
        <v>284.04911621706771</v>
      </c>
      <c r="O17" s="140"/>
      <c r="P17" s="68" t="s">
        <v>1114</v>
      </c>
      <c r="Q17" s="393">
        <f ca="1">Q15-Q16</f>
        <v>0</v>
      </c>
      <c r="R17" s="69">
        <f ca="1">R15-R16</f>
        <v>0</v>
      </c>
    </row>
    <row r="18" spans="1:22">
      <c r="B18" s="1177" t="s">
        <v>1109</v>
      </c>
      <c r="C18" s="1177" t="s">
        <v>1110</v>
      </c>
      <c r="D18" s="1177"/>
      <c r="E18" s="1177" t="s">
        <v>1111</v>
      </c>
      <c r="F18" s="1177" t="s">
        <v>1112</v>
      </c>
      <c r="G18" s="764"/>
      <c r="H18" s="766"/>
      <c r="I18" s="132"/>
      <c r="K18" s="139" t="s">
        <v>1092</v>
      </c>
      <c r="L18" s="465">
        <f ca="1">N18</f>
        <v>11.47906912183679</v>
      </c>
      <c r="M18" s="465"/>
      <c r="N18" s="1475">
        <f ca="1">(N16+N17)*N15</f>
        <v>11.47906912183679</v>
      </c>
      <c r="P18" s="68" t="s">
        <v>1115</v>
      </c>
      <c r="Q18" s="79">
        <f ca="1">R17/M9</f>
        <v>0</v>
      </c>
    </row>
    <row r="19" spans="1:22">
      <c r="B19" s="78" t="s">
        <v>215</v>
      </c>
      <c r="C19" s="763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5"/>
      <c r="H19" s="766"/>
      <c r="K19" s="1182" t="s">
        <v>1095</v>
      </c>
      <c r="L19" s="1450">
        <f ca="1">N19</f>
        <v>1669.1919708781634</v>
      </c>
      <c r="M19" s="1450"/>
      <c r="N19" s="1476">
        <f ca="1">(M5+M6)*N15</f>
        <v>1669.1919708781634</v>
      </c>
      <c r="Q19" s="140"/>
    </row>
    <row r="20" spans="1:22">
      <c r="B20" s="78" t="s">
        <v>47</v>
      </c>
      <c r="C20" s="251" cm="1">
        <f t="array" ref="C20">TabEnergiaProinfa[MWh]</f>
        <v>659.81567944888718</v>
      </c>
      <c r="D20" s="88"/>
      <c r="E20" s="88">
        <v>0</v>
      </c>
      <c r="F20" s="77">
        <v>0</v>
      </c>
      <c r="G20" s="765"/>
      <c r="H20" s="766"/>
      <c r="J20" s="132"/>
      <c r="K20" s="139" t="s">
        <v>1116</v>
      </c>
      <c r="L20" s="139"/>
      <c r="M20" s="139">
        <f>'Perdas de Energia'!I18</f>
        <v>2203.4654999999962</v>
      </c>
      <c r="N20" s="465"/>
      <c r="O20" s="140"/>
    </row>
    <row r="21" spans="1:22">
      <c r="B21" s="78" t="str">
        <f>B63</f>
        <v>Angra</v>
      </c>
      <c r="C21" s="251">
        <f ca="1">C63*N30</f>
        <v>1163.2013159052865</v>
      </c>
      <c r="D21" s="88"/>
      <c r="E21" s="88">
        <f>E63</f>
        <v>349.15</v>
      </c>
      <c r="F21" s="77">
        <f ca="1">E21*C21</f>
        <v>406131.73944833077</v>
      </c>
      <c r="G21" s="765"/>
      <c r="H21" s="766"/>
      <c r="K21" s="1182" t="s">
        <v>1117</v>
      </c>
      <c r="L21" s="1182"/>
      <c r="M21" s="1182">
        <f ca="1">M16+M17</f>
        <v>284.04911621706771</v>
      </c>
      <c r="N21" s="1450"/>
    </row>
    <row r="22" spans="1:22">
      <c r="B22" s="78" t="str">
        <f>B64</f>
        <v>CCGF</v>
      </c>
      <c r="C22" s="251">
        <f ca="1">(C64+C65)*N30</f>
        <v>9118.9670509690422</v>
      </c>
      <c r="D22" s="88"/>
      <c r="E22" s="88">
        <f>IFERROR((F64+F65)/(C64+C65),0)</f>
        <v>149.08698827498094</v>
      </c>
      <c r="F22" s="77">
        <f ca="1">E22*C22</f>
        <v>1359519.3338077592</v>
      </c>
      <c r="G22" s="765"/>
      <c r="H22" s="766"/>
      <c r="K22" s="68" t="s">
        <v>2051</v>
      </c>
      <c r="M22" s="72">
        <f>SUMIFS(TabPerdaDIT[Valor],TabPerdaDIT[Dados de perda],"Perdas RB")</f>
        <v>1680.6710400000002</v>
      </c>
    </row>
    <row r="23" spans="1:22">
      <c r="B23" s="78" t="s">
        <v>1118</v>
      </c>
      <c r="C23" s="251">
        <f ca="1">IF(J60=0,E35,(J48+J60))*N30</f>
        <v>32326.826109893853</v>
      </c>
      <c r="D23" s="88"/>
      <c r="E23" s="88">
        <f ca="1">IF(K60=0,H35,(N48+N60)/(M48+M60))</f>
        <v>160.90740667205489</v>
      </c>
      <c r="F23" s="77">
        <f ca="1">E23*C23</f>
        <v>5201625.7552814921</v>
      </c>
      <c r="G23" s="765"/>
      <c r="H23" s="766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90" t="s">
        <v>1119</v>
      </c>
      <c r="C24" s="1191">
        <f ca="1">SUM(C19:C23)</f>
        <v>43268.81015621707</v>
      </c>
      <c r="D24" s="1192"/>
      <c r="E24" s="1192">
        <f ca="1">IF(SUM(C19:C23)=0,0,SUM(F19:F23)/SUM(C19:C23))</f>
        <v>161.02307420479161</v>
      </c>
      <c r="F24" s="1193">
        <f ca="1">SUM(F19:F23)</f>
        <v>6967276.8285375824</v>
      </c>
      <c r="G24" s="765"/>
      <c r="H24" s="808"/>
      <c r="J24" s="72"/>
      <c r="K24" s="1575"/>
      <c r="L24" s="1575"/>
      <c r="M24" s="1194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6"/>
    </row>
    <row r="26" spans="1:22">
      <c r="A26" s="74"/>
      <c r="B26" s="839" t="s">
        <v>2050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5" t="s">
        <v>27</v>
      </c>
      <c r="C27" s="1195" t="s">
        <v>873</v>
      </c>
      <c r="D27" s="1195" t="s">
        <v>1120</v>
      </c>
      <c r="E27" s="1195" t="s">
        <v>896</v>
      </c>
      <c r="F27" s="1195" t="s">
        <v>1121</v>
      </c>
      <c r="G27" s="1196" t="s">
        <v>1122</v>
      </c>
      <c r="H27" s="1196" t="s">
        <v>1123</v>
      </c>
      <c r="I27" s="1196" t="s">
        <v>1124</v>
      </c>
      <c r="K27" s="128"/>
      <c r="L27" s="1577"/>
      <c r="M27" s="100"/>
      <c r="N27" s="100"/>
    </row>
    <row r="28" spans="1:22">
      <c r="A28" s="74">
        <v>5697</v>
      </c>
      <c r="B28" s="512" t="s">
        <v>2201</v>
      </c>
      <c r="C28" s="512" t="s">
        <v>2036</v>
      </c>
      <c r="D28" s="512">
        <f>IF(B28="","",SUMIFS(Faturas!V:V,Faturas!U:U,"Consumo*",Faturas!S:S,Energia!C28,Faturas!R:R,Energia!B28))</f>
        <v>20253541</v>
      </c>
      <c r="E28" s="512">
        <f t="shared" ref="E28:E34" si="1">IF(B28="","",D28/1000)</f>
        <v>20253.541000000001</v>
      </c>
      <c r="F28" s="600">
        <f>I28</f>
        <v>0</v>
      </c>
      <c r="G28" s="513">
        <f>IFERROR(VLOOKUP(CONCATENATE(A28,A78),BD!$H$43:$S$59,12,FALSE),"")</f>
        <v>284.99</v>
      </c>
      <c r="H28" s="513">
        <f t="shared" ref="H28:H34" si="2">IF(B28="","",IFERROR(G28*(1-F28),0))</f>
        <v>284.99</v>
      </c>
      <c r="I28" s="511">
        <f>SUMIFS(DescontoEnergia[Desconto],DescontoEnergia[idSupridora],Energia!A28,DescontoEnergia[Nível],Energia!C28)</f>
        <v>0</v>
      </c>
      <c r="K28" s="71" t="s">
        <v>1125</v>
      </c>
      <c r="P28" s="68" t="s">
        <v>896</v>
      </c>
      <c r="Q28" s="68" t="s">
        <v>1121</v>
      </c>
      <c r="R28" s="68" t="s">
        <v>1122</v>
      </c>
      <c r="S28" s="68" t="s">
        <v>1123</v>
      </c>
      <c r="T28" s="68" t="s">
        <v>1124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7" t="s">
        <v>22</v>
      </c>
      <c r="L29" s="1198" t="s">
        <v>1126</v>
      </c>
      <c r="M29" s="1198" t="s">
        <v>1127</v>
      </c>
      <c r="N29" s="1199" t="s">
        <v>1128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1129</v>
      </c>
      <c r="L30" s="140">
        <f>IF(J60=0,E35,(J48+J60))+C63+C64+C65+C70</f>
        <v>40352.625903947926</v>
      </c>
      <c r="M30" s="92">
        <f ca="1">LnkTXTER-LnkTXTProinfa</f>
        <v>42608.994476768174</v>
      </c>
      <c r="N30" s="210">
        <f ca="1">M30/L30</f>
        <v>1.055916276135068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6"/>
      <c r="L32" s="1806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5" t="s">
        <v>2161</v>
      </c>
      <c r="L34" s="1556"/>
      <c r="M34" s="749"/>
      <c r="N34" s="100"/>
      <c r="O34" s="128"/>
      <c r="V34" s="140" t="e">
        <f ca="1">V32+V33</f>
        <v>#VALUE!</v>
      </c>
    </row>
    <row r="35" spans="1:22" ht="14.25" customHeight="1">
      <c r="A35" s="74"/>
      <c r="B35" s="731"/>
      <c r="C35" s="732"/>
      <c r="D35" s="733">
        <f>SUM(D28:D34)</f>
        <v>20253541</v>
      </c>
      <c r="E35" s="733">
        <f>SUM(E28:E34)</f>
        <v>20253.541000000001</v>
      </c>
      <c r="F35" s="730"/>
      <c r="G35" s="726">
        <f>IFERROR(SUMPRODUCT(G28:G34,E28:E34)/SUM(E28:E34),0)</f>
        <v>284.99</v>
      </c>
      <c r="H35" s="727">
        <f>IFERROR(SUMPRODUCT(H28:H34,E28:E34)/SUM(E28:E34),0)</f>
        <v>284.99</v>
      </c>
      <c r="I35" s="726"/>
      <c r="K35" s="1557" t="s">
        <v>2162</v>
      </c>
      <c r="L35" s="1558">
        <f ca="1">(L16+L17+L18+L19)/LnkTXTEV</f>
        <v>4.7567205964762035E-2</v>
      </c>
      <c r="M35" s="749"/>
      <c r="N35" s="750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2047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2048</v>
      </c>
      <c r="C39" s="69"/>
      <c r="G39" s="135"/>
      <c r="I39" s="68" t="s">
        <v>2402</v>
      </c>
      <c r="K39" s="140">
        <f>J41-J39</f>
        <v>29414.952000000001</v>
      </c>
      <c r="O39" s="128"/>
    </row>
    <row r="40" spans="1:22" ht="24" customHeight="1">
      <c r="A40" s="74"/>
      <c r="B40" s="1200" t="s">
        <v>776</v>
      </c>
      <c r="C40" s="1201" t="s">
        <v>1130</v>
      </c>
      <c r="D40" s="1202"/>
      <c r="E40" s="1201" t="s">
        <v>62</v>
      </c>
      <c r="F40" s="1201" t="s">
        <v>61</v>
      </c>
      <c r="G40" s="1201" t="s">
        <v>1131</v>
      </c>
      <c r="H40" s="1201" t="s">
        <v>1132</v>
      </c>
      <c r="I40" s="1201" t="s">
        <v>1133</v>
      </c>
      <c r="J40" s="1201" t="s">
        <v>896</v>
      </c>
      <c r="K40" s="1201" t="s">
        <v>1134</v>
      </c>
      <c r="L40" s="1201" t="s">
        <v>1135</v>
      </c>
      <c r="M40" s="1201" t="s">
        <v>1136</v>
      </c>
      <c r="N40" s="1201" t="s">
        <v>1137</v>
      </c>
      <c r="O40" s="128"/>
    </row>
    <row r="41" spans="1:22" ht="24" customHeight="1">
      <c r="A41" s="74"/>
      <c r="B41" s="790" t="s">
        <v>2391</v>
      </c>
      <c r="C41" s="790" t="s">
        <v>2392</v>
      </c>
      <c r="D41" s="790"/>
      <c r="E41" s="1734">
        <v>135.97999999999999</v>
      </c>
      <c r="F41" s="1735">
        <v>44228</v>
      </c>
      <c r="G41" s="1736"/>
      <c r="H41" s="1766">
        <f>3.264*122/365+3.405*243/365</f>
        <v>3.357871232876712</v>
      </c>
      <c r="I41" s="1734">
        <v>365</v>
      </c>
      <c r="J41" s="790">
        <f>H41*24*365</f>
        <v>29414.952000000001</v>
      </c>
      <c r="K41" s="1763">
        <f>E41*Índices!D406/Índices!D387</f>
        <v>155.84538542539318</v>
      </c>
      <c r="L41" s="791">
        <f>IFERROR(J41*K41,0)</f>
        <v>4584184.5317094401</v>
      </c>
      <c r="M41" s="800">
        <f t="shared" ref="M41:M47" ca="1" si="7">IFERROR(J41*$N$30,0)</f>
        <v>31059.726578531772</v>
      </c>
      <c r="N41" s="791">
        <f ca="1">IFERROR(K41*M41,0)</f>
        <v>4840515.0598386126</v>
      </c>
      <c r="O41" s="128"/>
    </row>
    <row r="42" spans="1:22" ht="24" customHeight="1">
      <c r="A42" s="74"/>
      <c r="B42" s="790"/>
      <c r="C42" s="790"/>
      <c r="D42" s="790"/>
      <c r="E42" s="1734"/>
      <c r="F42" s="1735"/>
      <c r="G42" s="1736"/>
      <c r="H42" s="1737"/>
      <c r="I42" s="1738"/>
      <c r="J42" s="790"/>
      <c r="K42" s="1763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34" t="str">
        <f>IF(B43="","",D43/1000)</f>
        <v/>
      </c>
      <c r="F43" s="1735" t="str">
        <f>IF(B43="","",I43)</f>
        <v/>
      </c>
      <c r="G43" s="1736" t="s">
        <v>114</v>
      </c>
      <c r="H43" s="1737">
        <v>0</v>
      </c>
      <c r="I43" s="1734">
        <v>0</v>
      </c>
      <c r="J43" s="790"/>
      <c r="K43" s="1763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34" t="str">
        <f>IF(B44="","",D44/1000)</f>
        <v/>
      </c>
      <c r="F44" s="1735" t="str">
        <f>IF(B44="","",I44)</f>
        <v/>
      </c>
      <c r="G44" s="1736" t="s">
        <v>114</v>
      </c>
      <c r="H44" s="1737">
        <v>0</v>
      </c>
      <c r="I44" s="1734">
        <v>0</v>
      </c>
      <c r="J44" s="790"/>
      <c r="K44" s="1763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34" t="str">
        <f>IF(B45="","",D45/1000)</f>
        <v/>
      </c>
      <c r="F45" s="1735" t="str">
        <f>IF(B45="","",I45)</f>
        <v/>
      </c>
      <c r="G45" s="1736" t="s">
        <v>114</v>
      </c>
      <c r="H45" s="1737">
        <v>0</v>
      </c>
      <c r="I45" s="1734">
        <v>0</v>
      </c>
      <c r="J45" s="790"/>
      <c r="K45" s="1763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34" t="str">
        <f>IF(B46="","",D46/1000)</f>
        <v/>
      </c>
      <c r="F46" s="1735" t="str">
        <f>IF(B46="","",I46)</f>
        <v/>
      </c>
      <c r="G46" s="1736" t="s">
        <v>114</v>
      </c>
      <c r="H46" s="1737">
        <v>0</v>
      </c>
      <c r="I46" s="1734">
        <v>0</v>
      </c>
      <c r="J46" s="790"/>
      <c r="K46" s="1763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34" t="str">
        <f>IF(B47="","",D47/1000)</f>
        <v/>
      </c>
      <c r="F47" s="1735" t="str">
        <f>IF(B47="","",I47)</f>
        <v/>
      </c>
      <c r="G47" s="1736" t="s">
        <v>114</v>
      </c>
      <c r="H47" s="1737">
        <v>0</v>
      </c>
      <c r="I47" s="1734">
        <v>0</v>
      </c>
      <c r="J47" s="790"/>
      <c r="K47" s="1763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3" t="s">
        <v>767</v>
      </c>
      <c r="C48" s="1204"/>
      <c r="D48" s="1204"/>
      <c r="E48" s="1203"/>
      <c r="F48" s="1203"/>
      <c r="G48" s="1205"/>
      <c r="H48" s="1203"/>
      <c r="I48" s="1203"/>
      <c r="J48" s="1206">
        <f>SUM(J41:J47)</f>
        <v>29414.952000000001</v>
      </c>
      <c r="K48" s="1207">
        <f ca="1">IFERROR(SUMPRODUCT(K41:K47,M41:M47)/SUM(M41:M47),0)</f>
        <v>155.84538542539318</v>
      </c>
      <c r="L48" s="1203"/>
      <c r="M48" s="1208">
        <f ca="1">SUM(M41:M47)</f>
        <v>31059.726578531772</v>
      </c>
      <c r="N48" s="1208">
        <f ca="1">SUM(N41:N47)</f>
        <v>4840515.0598386126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2049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0" t="s">
        <v>776</v>
      </c>
      <c r="C52" s="1201" t="s">
        <v>1130</v>
      </c>
      <c r="D52" s="1202"/>
      <c r="E52" s="1201" t="s">
        <v>62</v>
      </c>
      <c r="F52" s="1201" t="s">
        <v>61</v>
      </c>
      <c r="G52" s="1201" t="s">
        <v>1131</v>
      </c>
      <c r="H52" s="1201" t="s">
        <v>2400</v>
      </c>
      <c r="I52" s="1201" t="s">
        <v>1133</v>
      </c>
      <c r="J52" s="1201" t="s">
        <v>896</v>
      </c>
      <c r="K52" s="1201" t="s">
        <v>1134</v>
      </c>
      <c r="L52" s="1201" t="s">
        <v>1135</v>
      </c>
      <c r="M52" s="1201" t="s">
        <v>1136</v>
      </c>
      <c r="N52" s="1201" t="s">
        <v>1137</v>
      </c>
      <c r="O52" s="128"/>
      <c r="V52" s="140" t="e">
        <f ca="1">V34-V51</f>
        <v>#VALUE!</v>
      </c>
    </row>
    <row r="53" spans="1:22" ht="18" customHeight="1">
      <c r="A53" s="74"/>
      <c r="B53" s="790" t="s">
        <v>155</v>
      </c>
      <c r="C53" s="790"/>
      <c r="D53" s="790"/>
      <c r="E53" s="1734">
        <f>G28</f>
        <v>284.99</v>
      </c>
      <c r="F53" s="1735">
        <v>44795</v>
      </c>
      <c r="G53" s="1736"/>
      <c r="H53" s="790">
        <f>I90/1000</f>
        <v>1200</v>
      </c>
      <c r="I53" s="1731">
        <v>365</v>
      </c>
      <c r="J53" s="1730">
        <f>H53</f>
        <v>1200</v>
      </c>
      <c r="K53" s="1732">
        <f>H28</f>
        <v>284.99</v>
      </c>
      <c r="L53" s="791">
        <f>IFERROR(J53*K53,0)</f>
        <v>341988</v>
      </c>
      <c r="M53" s="800">
        <f t="shared" ref="M53:M59" ca="1" si="10">IFERROR(J53*$N$30,0)</f>
        <v>1267.0995313620815</v>
      </c>
      <c r="N53" s="791">
        <f ca="1">IFERROR(K53*M53,0)</f>
        <v>361110.69544287963</v>
      </c>
      <c r="O53" s="134"/>
    </row>
    <row r="54" spans="1:22">
      <c r="B54" s="790"/>
      <c r="C54" s="790"/>
      <c r="D54" s="790"/>
      <c r="E54" s="1734"/>
      <c r="F54" s="1735"/>
      <c r="G54" s="1736"/>
      <c r="H54" s="1737"/>
      <c r="I54" s="1733"/>
      <c r="J54" s="1730"/>
      <c r="K54" s="1732" t="str">
        <f>H29</f>
        <v/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34" t="str">
        <f>IF(B55="","",D55/1000)</f>
        <v/>
      </c>
      <c r="F55" s="1735" t="str">
        <f>IF(B55="","",I55)</f>
        <v/>
      </c>
      <c r="G55" s="1736" t="s">
        <v>114</v>
      </c>
      <c r="H55" s="1737">
        <v>0</v>
      </c>
      <c r="I55" s="1731">
        <v>0</v>
      </c>
      <c r="J55" s="1730"/>
      <c r="K55" s="1732">
        <f>IFERROR(E55*(VLOOKUP(EDATE(G55,-1),Índices!B7:D501,3,FALSE)/VLOOKUP(EDATE(F55,-1),Índices!B7:D501,3,FALSE)),0)</f>
        <v>0</v>
      </c>
      <c r="L55" s="791">
        <f t="shared" ref="L55:L59" si="11">J55*K55</f>
        <v>0</v>
      </c>
      <c r="M55" s="800">
        <f t="shared" ca="1" si="10"/>
        <v>0</v>
      </c>
      <c r="N55" s="791">
        <f t="shared" ref="N55:N59" ca="1" si="12">K55*M55</f>
        <v>0</v>
      </c>
    </row>
    <row r="56" spans="1:22">
      <c r="B56" s="790"/>
      <c r="C56" s="790"/>
      <c r="D56" s="790" t="s">
        <v>114</v>
      </c>
      <c r="E56" s="1734" t="str">
        <f>IF(B56="","",D56/1000)</f>
        <v/>
      </c>
      <c r="F56" s="1735" t="str">
        <f>IF(B56="","",I56)</f>
        <v/>
      </c>
      <c r="G56" s="1736" t="s">
        <v>114</v>
      </c>
      <c r="H56" s="1737">
        <v>0</v>
      </c>
      <c r="I56" s="1731">
        <v>0</v>
      </c>
      <c r="J56" s="1730"/>
      <c r="K56" s="1732">
        <f>IFERROR(E56*(VLOOKUP(EDATE(G56,-1),Índices!B8:D502,3,FALSE)/VLOOKUP(EDATE(F56,-1),Índices!B8:D502,3,FALSE)),0)</f>
        <v>0</v>
      </c>
      <c r="L56" s="791">
        <f t="shared" si="11"/>
        <v>0</v>
      </c>
      <c r="M56" s="800">
        <f t="shared" ca="1" si="10"/>
        <v>0</v>
      </c>
      <c r="N56" s="791">
        <f t="shared" ca="1" si="12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34" t="str">
        <f>IF(B57="","",D57/1000)</f>
        <v/>
      </c>
      <c r="F57" s="1735" t="str">
        <f>IF(B57="","",I57)</f>
        <v/>
      </c>
      <c r="G57" s="1736" t="s">
        <v>114</v>
      </c>
      <c r="H57" s="1737">
        <v>0</v>
      </c>
      <c r="I57" s="1731">
        <v>0</v>
      </c>
      <c r="J57" s="1730"/>
      <c r="K57" s="1732">
        <f>IFERROR(E57*(VLOOKUP(EDATE(G57,-1),Índices!B9:D503,3,FALSE)/VLOOKUP(EDATE(F57,-1),Índices!B9:D503,3,FALSE)),0)</f>
        <v>0</v>
      </c>
      <c r="L57" s="791">
        <f t="shared" si="11"/>
        <v>0</v>
      </c>
      <c r="M57" s="800">
        <f t="shared" ca="1" si="10"/>
        <v>0</v>
      </c>
      <c r="N57" s="791">
        <f t="shared" ca="1" si="12"/>
        <v>0</v>
      </c>
    </row>
    <row r="58" spans="1:22">
      <c r="B58" s="790"/>
      <c r="C58" s="790"/>
      <c r="D58" s="790" t="s">
        <v>114</v>
      </c>
      <c r="E58" s="1734" t="str">
        <f>IF(B58="","",D58/1000)</f>
        <v/>
      </c>
      <c r="F58" s="1735" t="str">
        <f>IF(B58="","",I58)</f>
        <v/>
      </c>
      <c r="G58" s="1736" t="s">
        <v>114</v>
      </c>
      <c r="H58" s="1737">
        <v>0</v>
      </c>
      <c r="I58" s="1731">
        <v>0</v>
      </c>
      <c r="J58" s="1730"/>
      <c r="K58" s="1732">
        <f>IFERROR(E58*(VLOOKUP(EDATE(G58,-1),Índices!B10:D504,3,FALSE)/VLOOKUP(EDATE(F58,-1),Índices!B10:D504,3,FALSE)),0)</f>
        <v>0</v>
      </c>
      <c r="L58" s="791">
        <f t="shared" si="11"/>
        <v>0</v>
      </c>
      <c r="M58" s="800">
        <f t="shared" ca="1" si="10"/>
        <v>0</v>
      </c>
      <c r="N58" s="791">
        <f t="shared" ca="1" si="12"/>
        <v>0</v>
      </c>
    </row>
    <row r="59" spans="1:22">
      <c r="B59" s="790"/>
      <c r="C59" s="790"/>
      <c r="D59" s="790" t="s">
        <v>114</v>
      </c>
      <c r="E59" s="1734" t="str">
        <f>IF(B59="","",D59/1000)</f>
        <v/>
      </c>
      <c r="F59" s="1735" t="str">
        <f>IF(B59="","",I59)</f>
        <v/>
      </c>
      <c r="G59" s="1736" t="s">
        <v>114</v>
      </c>
      <c r="H59" s="1737">
        <v>0</v>
      </c>
      <c r="I59" s="1731">
        <v>0</v>
      </c>
      <c r="J59" s="1730"/>
      <c r="K59" s="1732">
        <f>IFERROR(E59*(VLOOKUP(EDATE(G59,-1),Índices!B11:D505,3,FALSE)/VLOOKUP(EDATE(F59,-1),Índices!B11:D505,3,FALSE)),0)</f>
        <v>0</v>
      </c>
      <c r="L59" s="791">
        <f t="shared" si="11"/>
        <v>0</v>
      </c>
      <c r="M59" s="800">
        <f t="shared" ca="1" si="10"/>
        <v>0</v>
      </c>
      <c r="N59" s="791">
        <f t="shared" ca="1" si="12"/>
        <v>0</v>
      </c>
    </row>
    <row r="60" spans="1:22">
      <c r="B60" s="1203" t="s">
        <v>767</v>
      </c>
      <c r="C60" s="1204"/>
      <c r="D60" s="1204"/>
      <c r="E60" s="1203"/>
      <c r="F60" s="1203"/>
      <c r="G60" s="1205"/>
      <c r="H60" s="1203"/>
      <c r="I60" s="1203"/>
      <c r="J60" s="1206">
        <f>SUM(J53:J59)</f>
        <v>1200</v>
      </c>
      <c r="K60" s="1207">
        <f ca="1">IFERROR(SUMPRODUCT(K53:K59,M53:M59)/SUM(M53:M59),0)</f>
        <v>284.99</v>
      </c>
      <c r="L60" s="1203"/>
      <c r="M60" s="1208">
        <f ca="1">SUM(M53:M59)</f>
        <v>1267.0995313620815</v>
      </c>
      <c r="N60" s="1208">
        <f ca="1">SUM(N53:N59)</f>
        <v>361110.69544287963</v>
      </c>
    </row>
    <row r="61" spans="1:22">
      <c r="C61" s="412"/>
      <c r="D61" s="412"/>
      <c r="E61" s="412"/>
      <c r="K61" s="68" t="s">
        <v>2052</v>
      </c>
    </row>
    <row r="62" spans="1:22" ht="15.75">
      <c r="B62" s="1209" t="s">
        <v>1138</v>
      </c>
      <c r="C62" s="1210" t="s">
        <v>1139</v>
      </c>
      <c r="D62" s="1211"/>
      <c r="E62" s="1212" t="s">
        <v>1140</v>
      </c>
      <c r="F62" s="1212" t="s">
        <v>1141</v>
      </c>
      <c r="H62" s="1213" t="s">
        <v>1142</v>
      </c>
      <c r="I62" s="1214" t="s">
        <v>42</v>
      </c>
      <c r="J62" s="1215" t="s">
        <v>43</v>
      </c>
      <c r="K62" s="1216" t="s">
        <v>1112</v>
      </c>
    </row>
    <row r="63" spans="1:22" ht="15.75">
      <c r="B63" s="78" t="s">
        <v>1143</v>
      </c>
      <c r="C63" s="251">
        <f>IF(ISERROR(VLOOKUP("Angra",AngraCota[],5,FALSE)),0,VLOOKUP("Angra",AngraCota[],5,FALSE))</f>
        <v>1101.6037371475227</v>
      </c>
      <c r="D63" s="1729">
        <f t="shared" ref="D63:D65" si="13">E63</f>
        <v>349.15</v>
      </c>
      <c r="E63" s="217">
        <f>IFERROR(VLOOKUP("Angra",AngraCota[],4,FALSE),0)</f>
        <v>349.15</v>
      </c>
      <c r="F63" s="107">
        <f>C63*E63</f>
        <v>384624.94482505752</v>
      </c>
      <c r="H63" s="1217" t="s">
        <v>1144</v>
      </c>
      <c r="I63" s="1218" cm="1">
        <f t="array" ref="I63">GSFRH[GSF previsto]</f>
        <v>0.87029999999999996</v>
      </c>
      <c r="J63" s="1219" cm="1">
        <f t="array" ref="J63">GSFRH[PLD]</f>
        <v>195.04</v>
      </c>
      <c r="K63" s="1220">
        <f>(J63*(1-I63)*(C64+C65))</f>
        <v>218463.97255565794</v>
      </c>
    </row>
    <row r="64" spans="1:22" ht="15.75">
      <c r="B64" s="78" t="s">
        <v>1144</v>
      </c>
      <c r="C64" s="251">
        <f>BD!AE22</f>
        <v>3325.4460301696313</v>
      </c>
      <c r="D64" s="1729">
        <f t="shared" si="13"/>
        <v>136.09126865561183</v>
      </c>
      <c r="E64" s="217">
        <f>BD!AG22</f>
        <v>136.09126865561183</v>
      </c>
      <c r="F64" s="107">
        <f>C64*E64</f>
        <v>452564.16909155314</v>
      </c>
      <c r="H64" s="801" t="s">
        <v>1145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1144</v>
      </c>
      <c r="C65" s="251">
        <f>BD!AE23</f>
        <v>5310.6241366307759</v>
      </c>
      <c r="D65" s="1729">
        <f t="shared" si="13"/>
        <v>157.22474442295163</v>
      </c>
      <c r="E65" s="217">
        <f>BD!AG23</f>
        <v>157.22474442295163</v>
      </c>
      <c r="F65" s="107">
        <f>C65*E65</f>
        <v>834961.52260813187</v>
      </c>
      <c r="H65" s="805" t="s">
        <v>1146</v>
      </c>
      <c r="I65" s="802">
        <f>I64</f>
        <v>0.87029999999999996</v>
      </c>
      <c r="J65" s="803">
        <f>J64</f>
        <v>195.04</v>
      </c>
      <c r="K65" s="804">
        <f>(J65*(1-I65)*I68*K68*365*24)</f>
        <v>413293.24713321147</v>
      </c>
    </row>
    <row r="66" spans="1:11" ht="15.75">
      <c r="B66" s="792"/>
      <c r="C66" s="792">
        <f>SUM(C63:C65)</f>
        <v>9737.6739039479289</v>
      </c>
      <c r="D66" s="792"/>
      <c r="E66" s="792"/>
      <c r="F66" s="792">
        <f>SUM(F63:F65)</f>
        <v>1672150.6365247425</v>
      </c>
      <c r="H66" s="786" t="s">
        <v>1147</v>
      </c>
      <c r="I66" s="1221"/>
      <c r="J66" s="1222"/>
      <c r="K66" s="1223">
        <f>SUM(K63:K65)</f>
        <v>631757.21968886943</v>
      </c>
    </row>
    <row r="67" spans="1:11" ht="15.75">
      <c r="H67" s="1807" t="s">
        <v>45</v>
      </c>
      <c r="I67" s="1807"/>
      <c r="J67" s="1224"/>
      <c r="K67" s="1224" t="s">
        <v>44</v>
      </c>
    </row>
    <row r="68" spans="1:11" ht="15.75">
      <c r="H68" s="787" t="str">
        <f>CAPA!C9</f>
        <v>Cejama</v>
      </c>
      <c r="I68" s="807" cm="1">
        <f t="array" ref="I68">GSFRH[Fator de rateio]</f>
        <v>1.2653210000000001E-4</v>
      </c>
      <c r="J68" s="900">
        <f>J63</f>
        <v>195.04</v>
      </c>
      <c r="K68" s="788" cm="1">
        <f t="array" ref="K68">GSFRH[MWm repactuado]</f>
        <v>14739.74</v>
      </c>
    </row>
    <row r="69" spans="1:11" ht="15">
      <c r="B69" s="1209" t="s">
        <v>1148</v>
      </c>
      <c r="C69" s="1210" t="s">
        <v>1139</v>
      </c>
      <c r="D69" s="1211"/>
      <c r="E69" s="1212" t="s">
        <v>1140</v>
      </c>
      <c r="F69" s="1212" t="s">
        <v>1141</v>
      </c>
    </row>
    <row r="70" spans="1:11">
      <c r="B70" s="78" t="s">
        <v>1149</v>
      </c>
      <c r="C70" s="251">
        <f>D89</f>
        <v>0</v>
      </c>
      <c r="D70" s="806">
        <f t="shared" ref="D70" si="14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3" spans="1:11">
      <c r="H73" s="68" t="s">
        <v>2401</v>
      </c>
    </row>
    <row r="75" spans="1:11">
      <c r="C75" s="123" t="s">
        <v>1148</v>
      </c>
    </row>
    <row r="76" spans="1:11">
      <c r="C76" s="1707" t="s">
        <v>2199</v>
      </c>
      <c r="D76" s="1707" t="s">
        <v>2306</v>
      </c>
    </row>
    <row r="77" spans="1:11">
      <c r="A77" s="68" t="s">
        <v>1150</v>
      </c>
      <c r="C77" s="1725">
        <f>SAS_RA0_DataInicio</f>
        <v>44440</v>
      </c>
      <c r="D77" s="851">
        <f>IFERROR(VLOOKUP(C77,GeracaoPropria[],2,FALSE)/1000,0)</f>
        <v>0</v>
      </c>
      <c r="H77" s="1707" t="s">
        <v>2398</v>
      </c>
      <c r="I77" s="1707" t="s">
        <v>2399</v>
      </c>
    </row>
    <row r="78" spans="1:11">
      <c r="A78" s="68" t="str">
        <f>TRIM(LEFT(C28,3))</f>
        <v>A4</v>
      </c>
      <c r="C78" s="1725">
        <f>EDATE(C77,1)</f>
        <v>44470</v>
      </c>
      <c r="D78" s="851">
        <f>IFERROR(VLOOKUP(C78,GeracaoPropria[],2,FALSE)/1000,0)</f>
        <v>0</v>
      </c>
      <c r="H78" s="1764">
        <v>44805</v>
      </c>
      <c r="I78" s="1765">
        <v>100000</v>
      </c>
    </row>
    <row r="79" spans="1:11">
      <c r="A79" s="68" t="str">
        <f t="shared" ref="A79:A84" si="15">TRIM(LEFT(C29,3))</f>
        <v/>
      </c>
      <c r="C79" s="1725">
        <f t="shared" ref="C79:C87" si="16">EDATE(C78,1)</f>
        <v>44501</v>
      </c>
      <c r="D79" s="851">
        <f>IFERROR(VLOOKUP(C79,GeracaoPropria[],2,FALSE)/1000,0)</f>
        <v>0</v>
      </c>
      <c r="H79" s="1764">
        <v>44835</v>
      </c>
      <c r="I79" s="1765">
        <v>100000</v>
      </c>
    </row>
    <row r="80" spans="1:11">
      <c r="A80" s="68" t="str">
        <f t="shared" si="15"/>
        <v/>
      </c>
      <c r="C80" s="1725">
        <f t="shared" si="16"/>
        <v>44531</v>
      </c>
      <c r="D80" s="851">
        <f>IFERROR(VLOOKUP(C80,GeracaoPropria[],2,FALSE)/1000,0)</f>
        <v>0</v>
      </c>
      <c r="H80" s="1764">
        <v>44866</v>
      </c>
      <c r="I80" s="1765">
        <v>100000</v>
      </c>
    </row>
    <row r="81" spans="1:9">
      <c r="A81" s="68" t="str">
        <f t="shared" si="15"/>
        <v/>
      </c>
      <c r="C81" s="1725">
        <f t="shared" si="16"/>
        <v>44562</v>
      </c>
      <c r="D81" s="851">
        <f>IFERROR(VLOOKUP(C81,GeracaoPropria[],2,FALSE)/1000,0)</f>
        <v>0</v>
      </c>
      <c r="H81" s="1764">
        <v>44896</v>
      </c>
      <c r="I81" s="1765">
        <v>100000</v>
      </c>
    </row>
    <row r="82" spans="1:9">
      <c r="A82" s="68" t="str">
        <f t="shared" si="15"/>
        <v/>
      </c>
      <c r="C82" s="1725">
        <f t="shared" si="16"/>
        <v>44593</v>
      </c>
      <c r="D82" s="851">
        <f>IFERROR(VLOOKUP(C82,GeracaoPropria[],2,FALSE)/1000,0)</f>
        <v>0</v>
      </c>
      <c r="H82" s="1764">
        <v>44927</v>
      </c>
      <c r="I82" s="1765">
        <v>100000</v>
      </c>
    </row>
    <row r="83" spans="1:9">
      <c r="A83" s="68" t="str">
        <f t="shared" si="15"/>
        <v/>
      </c>
      <c r="C83" s="1725">
        <f t="shared" si="16"/>
        <v>44621</v>
      </c>
      <c r="D83" s="851">
        <f>IFERROR(VLOOKUP(C83,GeracaoPropria[],2,FALSE)/1000,0)</f>
        <v>0</v>
      </c>
      <c r="H83" s="1764">
        <v>44958</v>
      </c>
      <c r="I83" s="1765">
        <v>100000</v>
      </c>
    </row>
    <row r="84" spans="1:9">
      <c r="A84" s="68" t="str">
        <f t="shared" si="15"/>
        <v/>
      </c>
      <c r="C84" s="1725">
        <f t="shared" si="16"/>
        <v>44652</v>
      </c>
      <c r="D84" s="851">
        <f>IFERROR(VLOOKUP(C84,GeracaoPropria[],2,FALSE)/1000,0)</f>
        <v>0</v>
      </c>
      <c r="H84" s="1764">
        <v>44986</v>
      </c>
      <c r="I84" s="1765">
        <v>100000</v>
      </c>
    </row>
    <row r="85" spans="1:9">
      <c r="C85" s="1725">
        <f t="shared" si="16"/>
        <v>44682</v>
      </c>
      <c r="D85" s="851">
        <f>IFERROR(VLOOKUP(C85,GeracaoPropria[],2,FALSE)/1000,0)</f>
        <v>0</v>
      </c>
      <c r="H85" s="1764">
        <v>45017</v>
      </c>
      <c r="I85" s="1765">
        <v>100000</v>
      </c>
    </row>
    <row r="86" spans="1:9">
      <c r="C86" s="1725">
        <f>EDATE(C85,1)</f>
        <v>44713</v>
      </c>
      <c r="D86" s="851">
        <f>IFERROR(VLOOKUP(C86,GeracaoPropria[],2,FALSE)/1000,D85)</f>
        <v>0</v>
      </c>
      <c r="H86" s="1764">
        <v>45047</v>
      </c>
      <c r="I86" s="1765">
        <v>100000</v>
      </c>
    </row>
    <row r="87" spans="1:9">
      <c r="C87" s="1725">
        <f t="shared" si="16"/>
        <v>44743</v>
      </c>
      <c r="D87" s="851">
        <f>IFERROR(VLOOKUP(C87,GeracaoPropria[],2,FALSE)/1000,D86)</f>
        <v>0</v>
      </c>
      <c r="H87" s="1764">
        <v>45078</v>
      </c>
      <c r="I87" s="1765">
        <v>100000</v>
      </c>
    </row>
    <row r="88" spans="1:9">
      <c r="C88" s="1725">
        <f>EDATE(C87,1)</f>
        <v>44774</v>
      </c>
      <c r="D88" s="851">
        <f>IFERROR(VLOOKUP(C88,GeracaoPropria[],2,FALSE)/1000,D87)</f>
        <v>0</v>
      </c>
      <c r="H88" s="1764">
        <v>45108</v>
      </c>
      <c r="I88" s="1765">
        <v>100000</v>
      </c>
    </row>
    <row r="89" spans="1:9">
      <c r="C89" s="1708" t="s">
        <v>767</v>
      </c>
      <c r="D89" s="1115">
        <f t="shared" ref="D89" si="17">SUM(D77:D88)</f>
        <v>0</v>
      </c>
      <c r="H89" s="1764">
        <v>45139</v>
      </c>
      <c r="I89" s="1765">
        <v>100000</v>
      </c>
    </row>
    <row r="90" spans="1:9">
      <c r="H90" s="1115"/>
      <c r="I90" s="1115">
        <f>SUM(I78:I89)</f>
        <v>1200000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10" t="s">
        <v>2282</v>
      </c>
      <c r="C1" s="1711"/>
      <c r="D1" s="1712"/>
      <c r="E1" s="1712"/>
      <c r="F1" s="1713" t="s">
        <v>871</v>
      </c>
      <c r="G1" s="1714">
        <f ca="1">LnkTXTIRTEco</f>
        <v>0.1694</v>
      </c>
    </row>
    <row r="2" spans="2:10">
      <c r="B2" s="1715" t="str">
        <f>CAPA!C9</f>
        <v>Cejama</v>
      </c>
      <c r="C2" s="1716"/>
      <c r="D2" s="1716"/>
      <c r="E2" s="1716"/>
      <c r="F2" s="1717" t="s">
        <v>875</v>
      </c>
      <c r="G2" s="1718">
        <f ca="1">LnkTXTIRTTotal</f>
        <v>1.52E-2</v>
      </c>
    </row>
    <row r="4" spans="2:10">
      <c r="B4" s="9"/>
    </row>
    <row r="5" spans="2:10" ht="25.5">
      <c r="B5" s="1707" t="s">
        <v>2199</v>
      </c>
      <c r="C5" s="1707" t="s">
        <v>2180</v>
      </c>
      <c r="D5" s="1707" t="s">
        <v>2181</v>
      </c>
      <c r="E5" s="1707" t="s">
        <v>2182</v>
      </c>
      <c r="F5" s="1707" t="s">
        <v>788</v>
      </c>
      <c r="G5" s="1707" t="s">
        <v>109</v>
      </c>
      <c r="H5" s="1707" t="s">
        <v>2200</v>
      </c>
      <c r="I5" s="1707" t="s">
        <v>740</v>
      </c>
      <c r="J5" s="1707" t="s">
        <v>1280</v>
      </c>
    </row>
    <row r="6" spans="2:10">
      <c r="B6" s="1725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3099.9670000000001</v>
      </c>
      <c r="G6" s="851">
        <f>IF(C6=0,(SUMIF(FaturasT!I:I,'Perdas de Energia'!B6,FaturasT!P:P)/1000),0)</f>
        <v>66.132000000000005</v>
      </c>
      <c r="H6" s="851">
        <f>SUMIF(dados_MercadoBase[AnoMes],'Perdas de Energia'!B6,dados_MercadoBase[TE_E])</f>
        <v>2830.1509999999998</v>
      </c>
      <c r="I6" s="1726">
        <f>C6-D6-E6+F6-H6+G6</f>
        <v>335.94800000000026</v>
      </c>
      <c r="J6" s="1727">
        <f>I6/(C6-D6-E6+F6+G6)</f>
        <v>0.1061078633359223</v>
      </c>
    </row>
    <row r="7" spans="2:10">
      <c r="B7" s="1725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2971.4</v>
      </c>
      <c r="G7" s="851">
        <f>IF(C7=0,(SUMIF(FaturasT!I:I,'Perdas de Energia'!B7,FaturasT!P:P)/1000),0)</f>
        <v>66.117000000000004</v>
      </c>
      <c r="H7" s="851">
        <f>SUMIF(dados_MercadoBase[AnoMes],'Perdas de Energia'!B7,dados_MercadoBase[TE_E])</f>
        <v>2878.9450000000002</v>
      </c>
      <c r="I7" s="1726">
        <f t="shared" ref="I7:I16" si="0">C7-D7-E7+F7-H7+G7</f>
        <v>158.57199999999995</v>
      </c>
      <c r="J7" s="1727">
        <f t="shared" ref="J7:J17" si="1">I7/(C7-D7-E7+F7+G7)</f>
        <v>5.2204481489321684E-2</v>
      </c>
    </row>
    <row r="8" spans="2:10">
      <c r="B8" s="1725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3091.6619999999998</v>
      </c>
      <c r="G8" s="851">
        <f>IF(C8=0,(SUMIF(FaturasT!I:I,'Perdas de Energia'!B8,FaturasT!P:P)/1000),0)</f>
        <v>70.399000000000001</v>
      </c>
      <c r="H8" s="851">
        <f>SUMIF(dados_MercadoBase[AnoMes],'Perdas de Energia'!B8,dados_MercadoBase[TE_E])</f>
        <v>3063.1140000000005</v>
      </c>
      <c r="I8" s="1726">
        <f t="shared" si="0"/>
        <v>98.946999999999321</v>
      </c>
      <c r="J8" s="1727">
        <f t="shared" si="1"/>
        <v>3.1291932698325343E-2</v>
      </c>
    </row>
    <row r="9" spans="2:10">
      <c r="B9" s="1725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3257.9279999999999</v>
      </c>
      <c r="G9" s="851">
        <f>IF(C9=0,(SUMIF(FaturasT!I:I,'Perdas de Energia'!B9,FaturasT!P:P)/1000),0)</f>
        <v>70.284999999999997</v>
      </c>
      <c r="H9" s="851">
        <f>SUMIF(dados_MercadoBase[AnoMes],'Perdas de Energia'!B9,dados_MercadoBase[TE_E])</f>
        <v>3209.3090000000002</v>
      </c>
      <c r="I9" s="1726">
        <f t="shared" si="0"/>
        <v>118.90399999999968</v>
      </c>
      <c r="J9" s="1727">
        <f t="shared" si="1"/>
        <v>3.5726078829690193E-2</v>
      </c>
    </row>
    <row r="10" spans="2:10">
      <c r="B10" s="1725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3484.5390000000002</v>
      </c>
      <c r="G10" s="851">
        <f>IF(C10=0,(SUMIF(FaturasT!I:I,'Perdas de Energia'!B10,FaturasT!P:P)/1000),0)</f>
        <v>64.09</v>
      </c>
      <c r="H10" s="851">
        <f>SUMIF(dados_MercadoBase[AnoMes],'Perdas de Energia'!B10,dados_MercadoBase[TE_E])</f>
        <v>3371.9360000000006</v>
      </c>
      <c r="I10" s="1726">
        <f t="shared" si="0"/>
        <v>176.69299999999961</v>
      </c>
      <c r="J10" s="1727">
        <f t="shared" si="1"/>
        <v>4.9791905550002437E-2</v>
      </c>
    </row>
    <row r="11" spans="2:10">
      <c r="B11" s="1725">
        <f t="shared" si="2"/>
        <v>44593</v>
      </c>
      <c r="C11" s="851">
        <f>IFERROR(VLOOKUP(B11,PerdasDitFinal[#All],2,FALSE),0)</f>
        <v>3933.5147999999999</v>
      </c>
      <c r="D11" s="851">
        <f>IFERROR(VLOOKUP(B11,PerdasDitFinal[#All],3,FALSE),0)</f>
        <v>141.43940000000001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0</v>
      </c>
      <c r="G11" s="851">
        <f>IF(C11=0,(SUMIF(FaturasT!I:I,'Perdas de Energia'!B11,FaturasT!P:P)/1000),0)</f>
        <v>0</v>
      </c>
      <c r="H11" s="851">
        <f>SUMIF(dados_MercadoBase[AnoMes],'Perdas de Energia'!B11,dados_MercadoBase[TE_E])</f>
        <v>3879.4690000000001</v>
      </c>
      <c r="I11" s="1726">
        <f t="shared" si="0"/>
        <v>-87.393600000000333</v>
      </c>
      <c r="J11" s="1727">
        <f t="shared" si="1"/>
        <v>-2.3046377189651961E-2</v>
      </c>
    </row>
    <row r="12" spans="2:10">
      <c r="B12" s="1725">
        <f t="shared" si="2"/>
        <v>44621</v>
      </c>
      <c r="C12" s="851">
        <f>IFERROR(VLOOKUP(B12,PerdasDitFinal[#All],2,FALSE),0)</f>
        <v>4885.4488000000001</v>
      </c>
      <c r="D12" s="851">
        <f>IFERROR(VLOOKUP(B12,PerdasDitFinal[#All],3,FALSE),0)</f>
        <v>174.71199999999999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0</v>
      </c>
      <c r="G12" s="851">
        <f>IF(C12=0,(SUMIF(FaturasT!I:I,'Perdas de Energia'!B12,FaturasT!P:P)/1000),0)</f>
        <v>0</v>
      </c>
      <c r="H12" s="851">
        <f>SUMIF(dados_MercadoBase[AnoMes],'Perdas de Energia'!B12,dados_MercadoBase[TE_E])</f>
        <v>4347.9030000000021</v>
      </c>
      <c r="I12" s="1726">
        <f t="shared" si="0"/>
        <v>362.83379999999852</v>
      </c>
      <c r="J12" s="1727">
        <f t="shared" si="1"/>
        <v>7.7022728164307219E-2</v>
      </c>
    </row>
    <row r="13" spans="2:10">
      <c r="B13" s="1725">
        <f t="shared" si="2"/>
        <v>44652</v>
      </c>
      <c r="C13" s="851">
        <f>IFERROR(VLOOKUP(B13,PerdasDitFinal[#All],2,FALSE),0)</f>
        <v>4181.8343000000004</v>
      </c>
      <c r="D13" s="851">
        <f>IFERROR(VLOOKUP(B13,PerdasDitFinal[#All],3,FALSE),0)</f>
        <v>143.47720000000001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0</v>
      </c>
      <c r="G13" s="851">
        <f>IF(C13=0,(SUMIF(FaturasT!I:I,'Perdas de Energia'!B13,FaturasT!P:P)/1000),0)</f>
        <v>0</v>
      </c>
      <c r="H13" s="851">
        <f>SUMIF(dados_MercadoBase[AnoMes],'Perdas de Energia'!B13,dados_MercadoBase[TE_E])</f>
        <v>3887.279</v>
      </c>
      <c r="I13" s="1726">
        <f t="shared" si="0"/>
        <v>151.07810000000063</v>
      </c>
      <c r="J13" s="1727">
        <f t="shared" si="1"/>
        <v>3.7410782716565755E-2</v>
      </c>
    </row>
    <row r="14" spans="2:10">
      <c r="B14" s="1725">
        <f t="shared" si="2"/>
        <v>44682</v>
      </c>
      <c r="C14" s="851">
        <f>IFERROR(VLOOKUP(B14,PerdasDitFinal[#All],2,FALSE),0)</f>
        <v>4044.3984999999998</v>
      </c>
      <c r="D14" s="851">
        <f>IFERROR(VLOOKUP(B14,PerdasDitFinal[#All],3,FALSE),D13)</f>
        <v>143.6061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0</v>
      </c>
      <c r="G14" s="851">
        <f>IF(C14=0,IF(IFERROR(VLOOKUP(B14,FaturasT!I:I,1,FALSE),0)=B14,(SUMIF(Consulta3[MesAno],'Perdas de Energia'!B14,Consulta3[Proinfa (kWh)])/1000),G13),0)</f>
        <v>0</v>
      </c>
      <c r="H14" s="851">
        <f>SUMIF(dados_MercadoBase[AnoMes],'Perdas de Energia'!B14,dados_MercadoBase[TE_E])</f>
        <v>3642.5780000000004</v>
      </c>
      <c r="I14" s="1726">
        <f t="shared" si="0"/>
        <v>258.21439999999939</v>
      </c>
      <c r="J14" s="1727">
        <f t="shared" si="1"/>
        <v>6.6195370971292758E-2</v>
      </c>
    </row>
    <row r="15" spans="2:10">
      <c r="B15" s="1725">
        <f>EDATE(B14,1)</f>
        <v>44713</v>
      </c>
      <c r="C15" s="851">
        <f>IFERROR(VLOOKUP(B15,PerdasDitFinal[#All],2,FALSE),C14)</f>
        <v>3704.7365</v>
      </c>
      <c r="D15" s="851">
        <f>IFERROR(VLOOKUP(B15,PerdasDitFinal[#All],3,FALSE),D14)</f>
        <v>97.044899999999998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0</v>
      </c>
      <c r="G15" s="851">
        <f>IF(C15=0,IF(IFERROR(VLOOKUP(B15,FaturasT!I:I,1,FALSE),0)=B15,(SUMIF(Consulta3[MesAno],'Perdas de Energia'!B15,Consulta3[Proinfa (kWh)])/1000),G14),0)</f>
        <v>0</v>
      </c>
      <c r="H15" s="851">
        <f>SUMIF(dados_MercadoBase[AnoMes],'Perdas de Energia'!B15,dados_MercadoBase[TE_E])</f>
        <v>3445.6640000000002</v>
      </c>
      <c r="I15" s="1726">
        <f t="shared" si="0"/>
        <v>162.02759999999989</v>
      </c>
      <c r="J15" s="1727">
        <f t="shared" si="1"/>
        <v>4.4911710302510309E-2</v>
      </c>
    </row>
    <row r="16" spans="2:10">
      <c r="B16" s="1725">
        <f t="shared" si="2"/>
        <v>44743</v>
      </c>
      <c r="C16" s="851">
        <f>IFERROR(VLOOKUP(B16,PerdasDitFinal[#All],2,FALSE),C15)</f>
        <v>3704.7365</v>
      </c>
      <c r="D16" s="851">
        <f>IFERROR(VLOOKUP(B16,PerdasDitFinal[#All],3,FALSE),D15)</f>
        <v>97.044899999999998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0</v>
      </c>
      <c r="G16" s="851">
        <f>IF(C16=0,IF(IFERROR(VLOOKUP(B16,FaturasT!I:I,1,FALSE),0)=B16,(SUMIF(Consulta3[MesAno],'Perdas de Energia'!B16,Consulta3[Proinfa (kWh)])/1000),G15),0)</f>
        <v>0</v>
      </c>
      <c r="H16" s="851">
        <f>SUMIF(dados_MercadoBase[AnoMes],'Perdas de Energia'!B16,dados_MercadoBase[TE_E])</f>
        <v>3373.8710000000005</v>
      </c>
      <c r="I16" s="1726">
        <f t="shared" si="0"/>
        <v>233.82059999999956</v>
      </c>
      <c r="J16" s="1727">
        <f t="shared" si="1"/>
        <v>6.4811692884169908E-2</v>
      </c>
    </row>
    <row r="17" spans="2:10">
      <c r="B17" s="1725">
        <f>EDATE(B16,1)</f>
        <v>44774</v>
      </c>
      <c r="C17" s="851">
        <f>IFERROR(VLOOKUP(B17,PerdasDitFinal[#All],2,FALSE),C16)</f>
        <v>3704.7365</v>
      </c>
      <c r="D17" s="851">
        <f>IFERROR(VLOOKUP(B17,PerdasDitFinal[#All],3,FALSE),D16)</f>
        <v>97.044899999999998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0</v>
      </c>
      <c r="G17" s="851">
        <f>IF(C17=0,IF(IFERROR(VLOOKUP(B17,FaturasT!I:I,1,FALSE),0)=B17,(SUMIF(Consulta3[MesAno],'Perdas de Energia'!B17,Consulta3[Proinfa (kWh)])/1000),G16),0)</f>
        <v>0</v>
      </c>
      <c r="H17" s="851">
        <f>SUMIF(dados_MercadoBase[AnoMes],'Perdas de Energia'!B17,dados_MercadoBase[TE_E])</f>
        <v>3373.8710000000005</v>
      </c>
      <c r="I17" s="1726">
        <f>C17-D17-E17+F17-H17+G17</f>
        <v>233.82059999999956</v>
      </c>
      <c r="J17" s="1727">
        <f t="shared" si="1"/>
        <v>6.4811692884169908E-2</v>
      </c>
    </row>
    <row r="18" spans="2:10">
      <c r="B18" s="1708" t="s">
        <v>767</v>
      </c>
      <c r="C18" s="1115">
        <f t="shared" ref="C18:G18" si="3">SUM(C6:C17)</f>
        <v>28159.405899999998</v>
      </c>
      <c r="D18" s="1115">
        <f t="shared" si="3"/>
        <v>894.36939999999993</v>
      </c>
      <c r="E18" s="1115">
        <f t="shared" si="3"/>
        <v>0</v>
      </c>
      <c r="F18" s="1115">
        <f t="shared" si="3"/>
        <v>15905.496000000001</v>
      </c>
      <c r="G18" s="1115">
        <f t="shared" si="3"/>
        <v>337.02300000000002</v>
      </c>
      <c r="H18" s="1115">
        <f>SUM(H6:H17)</f>
        <v>41304.090000000004</v>
      </c>
      <c r="I18" s="1115">
        <f>SUM(I6:I17)</f>
        <v>2203.4654999999962</v>
      </c>
      <c r="J18" s="1709">
        <f>I18/(C18-D18-E18+F18+G18)</f>
        <v>5.0645582696550166E-2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5" t="s">
        <v>635</v>
      </c>
      <c r="C1" s="1019">
        <f>Resultado!C1</f>
        <v>0</v>
      </c>
      <c r="D1" s="1226"/>
      <c r="E1" s="1227"/>
      <c r="F1" s="1228"/>
      <c r="G1" s="1129" t="s">
        <v>871</v>
      </c>
      <c r="H1" s="1229">
        <f ca="1">LnkTXTIRTEco</f>
        <v>0.1694</v>
      </c>
    </row>
    <row r="2" spans="2:27">
      <c r="B2" s="136" t="str">
        <f>CAPA!C9</f>
        <v>Cejama</v>
      </c>
      <c r="C2" s="70"/>
      <c r="D2" s="70"/>
      <c r="G2" s="120" t="s">
        <v>875</v>
      </c>
      <c r="H2" s="146">
        <f ca="1">LnkTXTIRTTotal</f>
        <v>1.52E-2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0" t="s">
        <v>1151</v>
      </c>
      <c r="C6" s="1230"/>
      <c r="D6" s="1230"/>
      <c r="E6" s="1230"/>
      <c r="F6" s="1230"/>
      <c r="G6" s="1230"/>
      <c r="H6" s="1230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1" t="s">
        <v>776</v>
      </c>
      <c r="C8" s="1231" t="s">
        <v>1152</v>
      </c>
      <c r="D8" s="1231" t="s">
        <v>1153</v>
      </c>
      <c r="E8" s="1231" t="s">
        <v>1154</v>
      </c>
      <c r="H8" s="150"/>
    </row>
    <row r="9" spans="2:27">
      <c r="B9" s="156" t="s">
        <v>891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2" t="s">
        <v>1155</v>
      </c>
      <c r="C10" s="1233">
        <f>SUMIFS($M$18:$M$63,$D$18:$D$63,"Fora Ponta")</f>
        <v>0</v>
      </c>
      <c r="D10" s="1233">
        <f>SUMIFS($J$18:$J$63,$D$18:$D$63,"Fora Ponta")</f>
        <v>0</v>
      </c>
      <c r="E10" s="1233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4" t="s">
        <v>1156</v>
      </c>
      <c r="G14" s="1235"/>
      <c r="H14" s="1235"/>
      <c r="I14" s="1235"/>
      <c r="J14" s="1235"/>
      <c r="K14" s="1235"/>
      <c r="L14" s="1235"/>
      <c r="M14" s="1235"/>
      <c r="N14" s="1235"/>
      <c r="O14" s="1235"/>
      <c r="P14" s="1235"/>
      <c r="Q14" s="1235"/>
      <c r="R14" s="1236"/>
    </row>
    <row r="15" spans="2:27">
      <c r="B15" s="1818" t="s">
        <v>1157</v>
      </c>
      <c r="C15" s="1819" t="s">
        <v>1158</v>
      </c>
      <c r="D15" s="1820" t="s">
        <v>78</v>
      </c>
      <c r="E15" s="1821" t="s">
        <v>1159</v>
      </c>
      <c r="F15" s="1821"/>
      <c r="G15" s="1821"/>
      <c r="H15" s="1822"/>
      <c r="I15" s="1823" t="s">
        <v>1160</v>
      </c>
      <c r="J15" s="1824"/>
      <c r="K15" s="1824"/>
      <c r="L15" s="1824"/>
      <c r="M15" s="1808" t="s">
        <v>1161</v>
      </c>
      <c r="N15" s="1809"/>
      <c r="O15" s="1809"/>
      <c r="P15" s="1809"/>
      <c r="Q15" s="1809"/>
      <c r="R15" s="1809"/>
      <c r="S15" s="1809"/>
      <c r="T15" s="1809"/>
      <c r="U15" s="1809"/>
      <c r="V15" s="1809"/>
      <c r="W15" s="1809"/>
      <c r="X15" s="1809"/>
      <c r="Y15" s="1809"/>
      <c r="Z15" s="65"/>
      <c r="AA15" s="382"/>
    </row>
    <row r="16" spans="2:27">
      <c r="B16" s="1818"/>
      <c r="C16" s="1819"/>
      <c r="D16" s="1820"/>
      <c r="E16" s="1812" t="s">
        <v>110</v>
      </c>
      <c r="F16" s="1813"/>
      <c r="G16" s="1813" t="s">
        <v>1162</v>
      </c>
      <c r="H16" s="1814"/>
      <c r="I16" s="1815" t="s">
        <v>110</v>
      </c>
      <c r="J16" s="1816"/>
      <c r="K16" s="1816" t="s">
        <v>1162</v>
      </c>
      <c r="L16" s="1817"/>
      <c r="M16" s="1810"/>
      <c r="N16" s="1811"/>
      <c r="O16" s="1811"/>
      <c r="P16" s="1811"/>
      <c r="Q16" s="1811"/>
      <c r="R16" s="1811"/>
      <c r="S16" s="1811"/>
      <c r="T16" s="1811"/>
      <c r="U16" s="1811"/>
      <c r="V16" s="1811"/>
      <c r="W16" s="1811"/>
      <c r="X16" s="1811"/>
      <c r="Y16" s="1811"/>
      <c r="Z16" s="65"/>
      <c r="AA16" s="382"/>
    </row>
    <row r="17" spans="2:27">
      <c r="B17" s="1818"/>
      <c r="C17" s="1819"/>
      <c r="D17" s="1820"/>
      <c r="E17" s="383" t="s">
        <v>693</v>
      </c>
      <c r="F17" s="384" t="s">
        <v>694</v>
      </c>
      <c r="G17" s="384" t="s">
        <v>693</v>
      </c>
      <c r="H17" s="385" t="s">
        <v>694</v>
      </c>
      <c r="I17" s="386" t="s">
        <v>693</v>
      </c>
      <c r="J17" s="387" t="s">
        <v>694</v>
      </c>
      <c r="K17" s="387" t="s">
        <v>693</v>
      </c>
      <c r="L17" s="387" t="s">
        <v>694</v>
      </c>
      <c r="M17" s="388" t="s">
        <v>767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780</v>
      </c>
    </row>
    <row r="18" spans="2:27" hidden="1">
      <c r="B18" s="1237">
        <f>RBBD!B3</f>
        <v>0</v>
      </c>
      <c r="C18" s="1237">
        <f>RBBD!C3</f>
        <v>0</v>
      </c>
      <c r="D18" s="1237">
        <f>RBBD!D3</f>
        <v>0</v>
      </c>
      <c r="E18" s="1237">
        <f>RBBD!E3</f>
        <v>0</v>
      </c>
      <c r="F18" s="1237">
        <f>RBBD!F3</f>
        <v>0</v>
      </c>
      <c r="G18" s="1237">
        <f>RBBD!G3</f>
        <v>0</v>
      </c>
      <c r="H18" s="1237">
        <f>RBBD!H3</f>
        <v>0</v>
      </c>
      <c r="I18" s="1237">
        <f>E18*$M18</f>
        <v>0</v>
      </c>
      <c r="J18" s="1237">
        <f>F18*$M18</f>
        <v>0</v>
      </c>
      <c r="K18" s="1237">
        <f>G18*$M18</f>
        <v>0</v>
      </c>
      <c r="L18" s="1237">
        <f>H18*$M18</f>
        <v>0</v>
      </c>
      <c r="M18" s="1237">
        <f>SUM(N18:Y18)</f>
        <v>0</v>
      </c>
      <c r="N18" s="1237">
        <f>RBBD!I3</f>
        <v>0</v>
      </c>
      <c r="O18" s="1237">
        <f>RBBD!J3</f>
        <v>0</v>
      </c>
      <c r="P18" s="1237">
        <f>RBBD!K3</f>
        <v>0</v>
      </c>
      <c r="Q18" s="1237">
        <f>RBBD!L3</f>
        <v>0</v>
      </c>
      <c r="R18" s="1237">
        <f>RBBD!M3</f>
        <v>0</v>
      </c>
      <c r="S18" s="1237">
        <f>RBBD!N3</f>
        <v>0</v>
      </c>
      <c r="T18" s="1237">
        <f>RBBD!O3</f>
        <v>0</v>
      </c>
      <c r="U18" s="1237">
        <f>RBBD!P3</f>
        <v>0</v>
      </c>
      <c r="V18" s="1237">
        <f>RBBD!Q3</f>
        <v>0</v>
      </c>
      <c r="W18" s="1237">
        <f>RBBD!R3</f>
        <v>0</v>
      </c>
      <c r="X18" s="1237">
        <f>RBBD!S3</f>
        <v>0</v>
      </c>
      <c r="Y18" s="1237">
        <f>RBBD!T3</f>
        <v>0</v>
      </c>
      <c r="Z18" s="65"/>
      <c r="AA18" s="324">
        <f t="shared" ref="AA18:AA23" si="1">IF(B18=0,0,1)</f>
        <v>0</v>
      </c>
    </row>
    <row r="19" spans="2:27" hidden="1">
      <c r="B19" s="1237">
        <f>RBBD!B4</f>
        <v>0</v>
      </c>
      <c r="C19" s="1237">
        <f>RBBD!C4</f>
        <v>0</v>
      </c>
      <c r="D19" s="1237">
        <f>RBBD!D4</f>
        <v>0</v>
      </c>
      <c r="E19" s="1237">
        <f>RBBD!E4</f>
        <v>0</v>
      </c>
      <c r="F19" s="1237">
        <f>RBBD!F4</f>
        <v>0</v>
      </c>
      <c r="G19" s="1237">
        <f>RBBD!G4</f>
        <v>0</v>
      </c>
      <c r="H19" s="1237">
        <f>RBBD!H4</f>
        <v>0</v>
      </c>
      <c r="I19" s="1237">
        <f t="shared" ref="I19:L60" si="2">E19*$M19</f>
        <v>0</v>
      </c>
      <c r="J19" s="1237">
        <f t="shared" si="2"/>
        <v>0</v>
      </c>
      <c r="K19" s="1237">
        <f t="shared" si="2"/>
        <v>0</v>
      </c>
      <c r="L19" s="1237">
        <f t="shared" si="2"/>
        <v>0</v>
      </c>
      <c r="M19" s="1237">
        <f t="shared" ref="M19:M60" si="3">SUM(N19:Y19)</f>
        <v>0</v>
      </c>
      <c r="N19" s="1237">
        <f>RBBD!I4</f>
        <v>0</v>
      </c>
      <c r="O19" s="1237">
        <f>RBBD!J4</f>
        <v>0</v>
      </c>
      <c r="P19" s="1237">
        <f>RBBD!K4</f>
        <v>0</v>
      </c>
      <c r="Q19" s="1237">
        <f>RBBD!L4</f>
        <v>0</v>
      </c>
      <c r="R19" s="1237">
        <f>RBBD!M4</f>
        <v>0</v>
      </c>
      <c r="S19" s="1237">
        <f>RBBD!N4</f>
        <v>0</v>
      </c>
      <c r="T19" s="1237">
        <f>RBBD!O4</f>
        <v>0</v>
      </c>
      <c r="U19" s="1237">
        <f>RBBD!P4</f>
        <v>0</v>
      </c>
      <c r="V19" s="1237">
        <f>RBBD!Q4</f>
        <v>0</v>
      </c>
      <c r="W19" s="1237">
        <f>RBBD!R4</f>
        <v>0</v>
      </c>
      <c r="X19" s="1237">
        <f>RBBD!S4</f>
        <v>0</v>
      </c>
      <c r="Y19" s="1237">
        <f>RBBD!T4</f>
        <v>0</v>
      </c>
      <c r="Z19" s="65"/>
      <c r="AA19" s="324">
        <f t="shared" si="1"/>
        <v>0</v>
      </c>
    </row>
    <row r="20" spans="2:27" hidden="1">
      <c r="B20" s="1237">
        <f>RBBD!B5</f>
        <v>0</v>
      </c>
      <c r="C20" s="1237">
        <f>RBBD!C5</f>
        <v>0</v>
      </c>
      <c r="D20" s="1237">
        <f>RBBD!D5</f>
        <v>0</v>
      </c>
      <c r="E20" s="1237">
        <f>RBBD!E5</f>
        <v>0</v>
      </c>
      <c r="F20" s="1237">
        <f>RBBD!F5</f>
        <v>0</v>
      </c>
      <c r="G20" s="1237">
        <f>RBBD!G5</f>
        <v>0</v>
      </c>
      <c r="H20" s="1237">
        <f>RBBD!H5</f>
        <v>0</v>
      </c>
      <c r="I20" s="1237">
        <f t="shared" si="2"/>
        <v>0</v>
      </c>
      <c r="J20" s="1237">
        <f t="shared" si="2"/>
        <v>0</v>
      </c>
      <c r="K20" s="1237">
        <f t="shared" si="2"/>
        <v>0</v>
      </c>
      <c r="L20" s="1237">
        <f t="shared" si="2"/>
        <v>0</v>
      </c>
      <c r="M20" s="1237">
        <f t="shared" si="3"/>
        <v>0</v>
      </c>
      <c r="N20" s="1237">
        <f>RBBD!I5</f>
        <v>0</v>
      </c>
      <c r="O20" s="1237">
        <f>RBBD!J5</f>
        <v>0</v>
      </c>
      <c r="P20" s="1237">
        <f>RBBD!K5</f>
        <v>0</v>
      </c>
      <c r="Q20" s="1237">
        <f>RBBD!L5</f>
        <v>0</v>
      </c>
      <c r="R20" s="1237">
        <f>RBBD!M5</f>
        <v>0</v>
      </c>
      <c r="S20" s="1237">
        <f>RBBD!N5</f>
        <v>0</v>
      </c>
      <c r="T20" s="1237">
        <f>RBBD!O5</f>
        <v>0</v>
      </c>
      <c r="U20" s="1237">
        <f>RBBD!P5</f>
        <v>0</v>
      </c>
      <c r="V20" s="1237">
        <f>RBBD!Q5</f>
        <v>0</v>
      </c>
      <c r="W20" s="1237">
        <f>RBBD!R5</f>
        <v>0</v>
      </c>
      <c r="X20" s="1237">
        <f>RBBD!S5</f>
        <v>0</v>
      </c>
      <c r="Y20" s="1237">
        <f>RBBD!T5</f>
        <v>0</v>
      </c>
      <c r="Z20" s="65"/>
      <c r="AA20" s="324">
        <f t="shared" si="1"/>
        <v>0</v>
      </c>
    </row>
    <row r="21" spans="2:27" hidden="1">
      <c r="B21" s="1237">
        <f>RBBD!B6</f>
        <v>0</v>
      </c>
      <c r="C21" s="1237">
        <f>RBBD!C6</f>
        <v>0</v>
      </c>
      <c r="D21" s="1237">
        <f>RBBD!D6</f>
        <v>0</v>
      </c>
      <c r="E21" s="1237">
        <f>RBBD!E6</f>
        <v>0</v>
      </c>
      <c r="F21" s="1237">
        <f>RBBD!F6</f>
        <v>0</v>
      </c>
      <c r="G21" s="1237">
        <f>RBBD!G6</f>
        <v>0</v>
      </c>
      <c r="H21" s="1237">
        <f>RBBD!H6</f>
        <v>0</v>
      </c>
      <c r="I21" s="1237">
        <f t="shared" si="2"/>
        <v>0</v>
      </c>
      <c r="J21" s="1237">
        <f t="shared" si="2"/>
        <v>0</v>
      </c>
      <c r="K21" s="1237">
        <f t="shared" si="2"/>
        <v>0</v>
      </c>
      <c r="L21" s="1237">
        <f t="shared" si="2"/>
        <v>0</v>
      </c>
      <c r="M21" s="1237">
        <f t="shared" si="3"/>
        <v>0</v>
      </c>
      <c r="N21" s="1237">
        <f>RBBD!I6</f>
        <v>0</v>
      </c>
      <c r="O21" s="1237">
        <f>RBBD!J6</f>
        <v>0</v>
      </c>
      <c r="P21" s="1237">
        <f>RBBD!K6</f>
        <v>0</v>
      </c>
      <c r="Q21" s="1237">
        <f>RBBD!L6</f>
        <v>0</v>
      </c>
      <c r="R21" s="1237">
        <f>RBBD!M6</f>
        <v>0</v>
      </c>
      <c r="S21" s="1237">
        <f>RBBD!N6</f>
        <v>0</v>
      </c>
      <c r="T21" s="1237">
        <f>RBBD!O6</f>
        <v>0</v>
      </c>
      <c r="U21" s="1237">
        <f>RBBD!P6</f>
        <v>0</v>
      </c>
      <c r="V21" s="1237">
        <f>RBBD!Q6</f>
        <v>0</v>
      </c>
      <c r="W21" s="1237">
        <f>RBBD!R6</f>
        <v>0</v>
      </c>
      <c r="X21" s="1237">
        <f>RBBD!S6</f>
        <v>0</v>
      </c>
      <c r="Y21" s="1237">
        <f>RBBD!T6</f>
        <v>0</v>
      </c>
      <c r="Z21" s="65"/>
      <c r="AA21" s="324">
        <f t="shared" si="1"/>
        <v>0</v>
      </c>
    </row>
    <row r="22" spans="2:27" hidden="1">
      <c r="B22" s="1237">
        <f>RBBD!B7</f>
        <v>0</v>
      </c>
      <c r="C22" s="1237">
        <f>RBBD!C7</f>
        <v>0</v>
      </c>
      <c r="D22" s="1237">
        <f>RBBD!D7</f>
        <v>0</v>
      </c>
      <c r="E22" s="1237">
        <f>RBBD!E7</f>
        <v>0</v>
      </c>
      <c r="F22" s="1237">
        <f>RBBD!F7</f>
        <v>0</v>
      </c>
      <c r="G22" s="1237">
        <f>RBBD!G7</f>
        <v>0</v>
      </c>
      <c r="H22" s="1237">
        <f>RBBD!H7</f>
        <v>0</v>
      </c>
      <c r="I22" s="1237">
        <f t="shared" si="2"/>
        <v>0</v>
      </c>
      <c r="J22" s="1237">
        <f t="shared" si="2"/>
        <v>0</v>
      </c>
      <c r="K22" s="1237">
        <f t="shared" si="2"/>
        <v>0</v>
      </c>
      <c r="L22" s="1237">
        <f t="shared" si="2"/>
        <v>0</v>
      </c>
      <c r="M22" s="1237">
        <f t="shared" si="3"/>
        <v>0</v>
      </c>
      <c r="N22" s="1237">
        <f>RBBD!I7</f>
        <v>0</v>
      </c>
      <c r="O22" s="1237">
        <f>RBBD!J7</f>
        <v>0</v>
      </c>
      <c r="P22" s="1237">
        <f>RBBD!K7</f>
        <v>0</v>
      </c>
      <c r="Q22" s="1237">
        <f>RBBD!L7</f>
        <v>0</v>
      </c>
      <c r="R22" s="1237">
        <f>RBBD!M7</f>
        <v>0</v>
      </c>
      <c r="S22" s="1237">
        <f>RBBD!N7</f>
        <v>0</v>
      </c>
      <c r="T22" s="1237">
        <f>RBBD!O7</f>
        <v>0</v>
      </c>
      <c r="U22" s="1237">
        <f>RBBD!P7</f>
        <v>0</v>
      </c>
      <c r="V22" s="1237">
        <f>RBBD!Q7</f>
        <v>0</v>
      </c>
      <c r="W22" s="1237">
        <f>RBBD!R7</f>
        <v>0</v>
      </c>
      <c r="X22" s="1237">
        <f>RBBD!S7</f>
        <v>0</v>
      </c>
      <c r="Y22" s="1237">
        <f>RBBD!T7</f>
        <v>0</v>
      </c>
      <c r="Z22" s="65"/>
      <c r="AA22" s="324">
        <f t="shared" si="1"/>
        <v>0</v>
      </c>
    </row>
    <row r="23" spans="2:27" hidden="1">
      <c r="B23" s="1237">
        <f>RBBD!B8</f>
        <v>0</v>
      </c>
      <c r="C23" s="1237">
        <f>RBBD!C8</f>
        <v>0</v>
      </c>
      <c r="D23" s="1237">
        <f>RBBD!D8</f>
        <v>0</v>
      </c>
      <c r="E23" s="1237">
        <f>RBBD!E8</f>
        <v>0</v>
      </c>
      <c r="F23" s="1237">
        <f>RBBD!F8</f>
        <v>0</v>
      </c>
      <c r="G23" s="1237">
        <f>RBBD!G8</f>
        <v>0</v>
      </c>
      <c r="H23" s="1237">
        <f>RBBD!H8</f>
        <v>0</v>
      </c>
      <c r="I23" s="1237">
        <f t="shared" si="2"/>
        <v>0</v>
      </c>
      <c r="J23" s="1237">
        <f t="shared" si="2"/>
        <v>0</v>
      </c>
      <c r="K23" s="1237">
        <f t="shared" si="2"/>
        <v>0</v>
      </c>
      <c r="L23" s="1237">
        <f t="shared" si="2"/>
        <v>0</v>
      </c>
      <c r="M23" s="1237">
        <f t="shared" si="3"/>
        <v>0</v>
      </c>
      <c r="N23" s="1237">
        <f>RBBD!I8</f>
        <v>0</v>
      </c>
      <c r="O23" s="1237">
        <f>RBBD!J8</f>
        <v>0</v>
      </c>
      <c r="P23" s="1237">
        <f>RBBD!K8</f>
        <v>0</v>
      </c>
      <c r="Q23" s="1237">
        <f>RBBD!L8</f>
        <v>0</v>
      </c>
      <c r="R23" s="1237">
        <f>RBBD!M8</f>
        <v>0</v>
      </c>
      <c r="S23" s="1237">
        <f>RBBD!N8</f>
        <v>0</v>
      </c>
      <c r="T23" s="1237">
        <f>RBBD!O8</f>
        <v>0</v>
      </c>
      <c r="U23" s="1237">
        <f>RBBD!P8</f>
        <v>0</v>
      </c>
      <c r="V23" s="1237">
        <f>RBBD!Q8</f>
        <v>0</v>
      </c>
      <c r="W23" s="1237">
        <f>RBBD!R8</f>
        <v>0</v>
      </c>
      <c r="X23" s="1237">
        <f>RBBD!S8</f>
        <v>0</v>
      </c>
      <c r="Y23" s="1237">
        <f>RBBD!T8</f>
        <v>0</v>
      </c>
      <c r="Z23" s="65"/>
      <c r="AA23" s="324">
        <f t="shared" si="1"/>
        <v>0</v>
      </c>
    </row>
    <row r="24" spans="2:27" hidden="1">
      <c r="B24" s="1237">
        <f>RBBD!B9</f>
        <v>0</v>
      </c>
      <c r="C24" s="1237">
        <f>RBBD!C9</f>
        <v>0</v>
      </c>
      <c r="D24" s="1237">
        <f>RBBD!D9</f>
        <v>0</v>
      </c>
      <c r="E24" s="1237">
        <f>RBBD!E9</f>
        <v>0</v>
      </c>
      <c r="F24" s="1237">
        <f>RBBD!F9</f>
        <v>0</v>
      </c>
      <c r="G24" s="1237">
        <f>RBBD!G9</f>
        <v>0</v>
      </c>
      <c r="H24" s="1237">
        <f>RBBD!H9</f>
        <v>0</v>
      </c>
      <c r="I24" s="1237">
        <f t="shared" si="2"/>
        <v>0</v>
      </c>
      <c r="J24" s="1237">
        <f t="shared" si="2"/>
        <v>0</v>
      </c>
      <c r="K24" s="1237">
        <f t="shared" si="2"/>
        <v>0</v>
      </c>
      <c r="L24" s="1237">
        <f t="shared" si="2"/>
        <v>0</v>
      </c>
      <c r="M24" s="1237">
        <f t="shared" si="3"/>
        <v>0</v>
      </c>
      <c r="N24" s="1237">
        <f>RBBD!I9</f>
        <v>0</v>
      </c>
      <c r="O24" s="1237">
        <f>RBBD!J9</f>
        <v>0</v>
      </c>
      <c r="P24" s="1237">
        <f>RBBD!K9</f>
        <v>0</v>
      </c>
      <c r="Q24" s="1237">
        <f>RBBD!L9</f>
        <v>0</v>
      </c>
      <c r="R24" s="1237">
        <f>RBBD!M9</f>
        <v>0</v>
      </c>
      <c r="S24" s="1237">
        <f>RBBD!N9</f>
        <v>0</v>
      </c>
      <c r="T24" s="1237">
        <f>RBBD!O9</f>
        <v>0</v>
      </c>
      <c r="U24" s="1237">
        <f>RBBD!P9</f>
        <v>0</v>
      </c>
      <c r="V24" s="1237">
        <f>RBBD!Q9</f>
        <v>0</v>
      </c>
      <c r="W24" s="1237">
        <f>RBBD!R9</f>
        <v>0</v>
      </c>
      <c r="X24" s="1237">
        <f>RBBD!S9</f>
        <v>0</v>
      </c>
      <c r="Y24" s="1237">
        <f>RBBD!T9</f>
        <v>0</v>
      </c>
      <c r="Z24" s="65"/>
      <c r="AA24" s="324">
        <f t="shared" ref="AA24:AA38" si="4">IF(B24=0,0,1)</f>
        <v>0</v>
      </c>
    </row>
    <row r="25" spans="2:27" hidden="1">
      <c r="B25" s="1237">
        <f>RBBD!B10</f>
        <v>0</v>
      </c>
      <c r="C25" s="1237">
        <f>RBBD!C10</f>
        <v>0</v>
      </c>
      <c r="D25" s="1237">
        <f>RBBD!D10</f>
        <v>0</v>
      </c>
      <c r="E25" s="1237">
        <f>RBBD!E10</f>
        <v>0</v>
      </c>
      <c r="F25" s="1237">
        <f>RBBD!F10</f>
        <v>0</v>
      </c>
      <c r="G25" s="1237">
        <f>RBBD!G10</f>
        <v>0</v>
      </c>
      <c r="H25" s="1237">
        <f>RBBD!H10</f>
        <v>0</v>
      </c>
      <c r="I25" s="1237">
        <f t="shared" si="2"/>
        <v>0</v>
      </c>
      <c r="J25" s="1237">
        <f t="shared" si="2"/>
        <v>0</v>
      </c>
      <c r="K25" s="1237">
        <f t="shared" si="2"/>
        <v>0</v>
      </c>
      <c r="L25" s="1237">
        <f t="shared" si="2"/>
        <v>0</v>
      </c>
      <c r="M25" s="1237">
        <f t="shared" si="3"/>
        <v>0</v>
      </c>
      <c r="N25" s="1237">
        <f>RBBD!I10</f>
        <v>0</v>
      </c>
      <c r="O25" s="1237">
        <f>RBBD!J10</f>
        <v>0</v>
      </c>
      <c r="P25" s="1237">
        <f>RBBD!K10</f>
        <v>0</v>
      </c>
      <c r="Q25" s="1237">
        <f>RBBD!L10</f>
        <v>0</v>
      </c>
      <c r="R25" s="1237">
        <f>RBBD!M10</f>
        <v>0</v>
      </c>
      <c r="S25" s="1237">
        <f>RBBD!N10</f>
        <v>0</v>
      </c>
      <c r="T25" s="1237">
        <f>RBBD!O10</f>
        <v>0</v>
      </c>
      <c r="U25" s="1237">
        <f>RBBD!P10</f>
        <v>0</v>
      </c>
      <c r="V25" s="1237">
        <f>RBBD!Q10</f>
        <v>0</v>
      </c>
      <c r="W25" s="1237">
        <f>RBBD!R10</f>
        <v>0</v>
      </c>
      <c r="X25" s="1237">
        <f>RBBD!S10</f>
        <v>0</v>
      </c>
      <c r="Y25" s="1237">
        <f>RBBD!T10</f>
        <v>0</v>
      </c>
      <c r="Z25" s="65"/>
      <c r="AA25" s="324">
        <f t="shared" si="4"/>
        <v>0</v>
      </c>
    </row>
    <row r="26" spans="2:27" hidden="1">
      <c r="B26" s="1237">
        <f>RBBD!B11</f>
        <v>0</v>
      </c>
      <c r="C26" s="1237">
        <f>RBBD!C11</f>
        <v>0</v>
      </c>
      <c r="D26" s="1237">
        <f>RBBD!D11</f>
        <v>0</v>
      </c>
      <c r="E26" s="1237">
        <f>RBBD!E11</f>
        <v>0</v>
      </c>
      <c r="F26" s="1237">
        <f>RBBD!F11</f>
        <v>0</v>
      </c>
      <c r="G26" s="1237">
        <f>RBBD!G11</f>
        <v>0</v>
      </c>
      <c r="H26" s="1237">
        <f>RBBD!H11</f>
        <v>0</v>
      </c>
      <c r="I26" s="1237">
        <f t="shared" si="2"/>
        <v>0</v>
      </c>
      <c r="J26" s="1237">
        <f t="shared" si="2"/>
        <v>0</v>
      </c>
      <c r="K26" s="1237">
        <f t="shared" si="2"/>
        <v>0</v>
      </c>
      <c r="L26" s="1237">
        <f t="shared" si="2"/>
        <v>0</v>
      </c>
      <c r="M26" s="1237">
        <f t="shared" si="3"/>
        <v>0</v>
      </c>
      <c r="N26" s="1237">
        <f>RBBD!I11</f>
        <v>0</v>
      </c>
      <c r="O26" s="1237">
        <f>RBBD!J11</f>
        <v>0</v>
      </c>
      <c r="P26" s="1237">
        <f>RBBD!K11</f>
        <v>0</v>
      </c>
      <c r="Q26" s="1237">
        <f>RBBD!L11</f>
        <v>0</v>
      </c>
      <c r="R26" s="1237">
        <f>RBBD!M11</f>
        <v>0</v>
      </c>
      <c r="S26" s="1237">
        <f>RBBD!N11</f>
        <v>0</v>
      </c>
      <c r="T26" s="1237">
        <f>RBBD!O11</f>
        <v>0</v>
      </c>
      <c r="U26" s="1237">
        <f>RBBD!P11</f>
        <v>0</v>
      </c>
      <c r="V26" s="1237">
        <f>RBBD!Q11</f>
        <v>0</v>
      </c>
      <c r="W26" s="1237">
        <f>RBBD!R11</f>
        <v>0</v>
      </c>
      <c r="X26" s="1237">
        <f>RBBD!S11</f>
        <v>0</v>
      </c>
      <c r="Y26" s="1237">
        <f>RBBD!T11</f>
        <v>0</v>
      </c>
      <c r="Z26" s="65"/>
      <c r="AA26" s="324">
        <f t="shared" si="4"/>
        <v>0</v>
      </c>
    </row>
    <row r="27" spans="2:27" hidden="1">
      <c r="B27" s="1237">
        <f>RBBD!B12</f>
        <v>0</v>
      </c>
      <c r="C27" s="1237">
        <f>RBBD!C12</f>
        <v>0</v>
      </c>
      <c r="D27" s="1237">
        <f>RBBD!D12</f>
        <v>0</v>
      </c>
      <c r="E27" s="1237">
        <f>RBBD!E12</f>
        <v>0</v>
      </c>
      <c r="F27" s="1237">
        <f>RBBD!F12</f>
        <v>0</v>
      </c>
      <c r="G27" s="1237">
        <f>RBBD!G12</f>
        <v>0</v>
      </c>
      <c r="H27" s="1237">
        <f>RBBD!H12</f>
        <v>0</v>
      </c>
      <c r="I27" s="1237">
        <f t="shared" si="2"/>
        <v>0</v>
      </c>
      <c r="J27" s="1237">
        <f t="shared" si="2"/>
        <v>0</v>
      </c>
      <c r="K27" s="1237">
        <f t="shared" si="2"/>
        <v>0</v>
      </c>
      <c r="L27" s="1237">
        <f t="shared" si="2"/>
        <v>0</v>
      </c>
      <c r="M27" s="1237">
        <f t="shared" si="3"/>
        <v>0</v>
      </c>
      <c r="N27" s="1237">
        <f>RBBD!I12</f>
        <v>0</v>
      </c>
      <c r="O27" s="1237">
        <f>RBBD!J12</f>
        <v>0</v>
      </c>
      <c r="P27" s="1237">
        <f>RBBD!K12</f>
        <v>0</v>
      </c>
      <c r="Q27" s="1237">
        <f>RBBD!L12</f>
        <v>0</v>
      </c>
      <c r="R27" s="1237">
        <f>RBBD!M12</f>
        <v>0</v>
      </c>
      <c r="S27" s="1237">
        <f>RBBD!N12</f>
        <v>0</v>
      </c>
      <c r="T27" s="1237">
        <f>RBBD!O12</f>
        <v>0</v>
      </c>
      <c r="U27" s="1237">
        <f>RBBD!P12</f>
        <v>0</v>
      </c>
      <c r="V27" s="1237">
        <f>RBBD!Q12</f>
        <v>0</v>
      </c>
      <c r="W27" s="1237">
        <f>RBBD!R12</f>
        <v>0</v>
      </c>
      <c r="X27" s="1237">
        <f>RBBD!S12</f>
        <v>0</v>
      </c>
      <c r="Y27" s="1237">
        <f>RBBD!T12</f>
        <v>0</v>
      </c>
      <c r="Z27" s="65"/>
      <c r="AA27" s="324">
        <f t="shared" si="4"/>
        <v>0</v>
      </c>
    </row>
    <row r="28" spans="2:27" hidden="1">
      <c r="B28" s="1237">
        <f>RBBD!B13</f>
        <v>0</v>
      </c>
      <c r="C28" s="1237">
        <f>RBBD!C13</f>
        <v>0</v>
      </c>
      <c r="D28" s="1237">
        <f>RBBD!D13</f>
        <v>0</v>
      </c>
      <c r="E28" s="1237">
        <f>RBBD!G13</f>
        <v>0</v>
      </c>
      <c r="F28" s="1237">
        <f>RBBD!H13</f>
        <v>0</v>
      </c>
      <c r="G28" s="1237">
        <f>RBBD!E13</f>
        <v>0</v>
      </c>
      <c r="H28" s="1237">
        <f>RBBD!F13</f>
        <v>0</v>
      </c>
      <c r="I28" s="1237">
        <f t="shared" si="2"/>
        <v>0</v>
      </c>
      <c r="J28" s="1237">
        <f t="shared" si="2"/>
        <v>0</v>
      </c>
      <c r="K28" s="1237">
        <f t="shared" si="2"/>
        <v>0</v>
      </c>
      <c r="L28" s="1237">
        <f t="shared" si="2"/>
        <v>0</v>
      </c>
      <c r="M28" s="1237">
        <f t="shared" si="3"/>
        <v>0</v>
      </c>
      <c r="N28" s="1237">
        <f>RBBD!I13</f>
        <v>0</v>
      </c>
      <c r="O28" s="1237">
        <f>RBBD!J13</f>
        <v>0</v>
      </c>
      <c r="P28" s="1237">
        <f>RBBD!K13</f>
        <v>0</v>
      </c>
      <c r="Q28" s="1237">
        <f>RBBD!L13</f>
        <v>0</v>
      </c>
      <c r="R28" s="1237">
        <f>RBBD!M13</f>
        <v>0</v>
      </c>
      <c r="S28" s="1237">
        <f>RBBD!N13</f>
        <v>0</v>
      </c>
      <c r="T28" s="1237">
        <f>RBBD!O13</f>
        <v>0</v>
      </c>
      <c r="U28" s="1237">
        <f>RBBD!P13</f>
        <v>0</v>
      </c>
      <c r="V28" s="1237">
        <f>RBBD!Q13</f>
        <v>0</v>
      </c>
      <c r="W28" s="1237">
        <f>RBBD!R13</f>
        <v>0</v>
      </c>
      <c r="X28" s="1237">
        <f>RBBD!S13</f>
        <v>0</v>
      </c>
      <c r="Y28" s="1237">
        <f>RBBD!T13</f>
        <v>0</v>
      </c>
      <c r="Z28" s="65"/>
      <c r="AA28" s="324">
        <f t="shared" si="4"/>
        <v>0</v>
      </c>
    </row>
    <row r="29" spans="2:27" hidden="1">
      <c r="B29" s="1237">
        <f>RBBD!B14</f>
        <v>0</v>
      </c>
      <c r="C29" s="1237">
        <f>RBBD!C14</f>
        <v>0</v>
      </c>
      <c r="D29" s="1237">
        <f>RBBD!D14</f>
        <v>0</v>
      </c>
      <c r="E29" s="1237">
        <f>RBBD!G14</f>
        <v>0</v>
      </c>
      <c r="F29" s="1237">
        <f>RBBD!H14</f>
        <v>0</v>
      </c>
      <c r="G29" s="1237">
        <f>RBBD!E14</f>
        <v>0</v>
      </c>
      <c r="H29" s="1237">
        <f>RBBD!F14</f>
        <v>0</v>
      </c>
      <c r="I29" s="1237">
        <f t="shared" si="2"/>
        <v>0</v>
      </c>
      <c r="J29" s="1237">
        <f t="shared" si="2"/>
        <v>0</v>
      </c>
      <c r="K29" s="1237">
        <f t="shared" si="2"/>
        <v>0</v>
      </c>
      <c r="L29" s="1237">
        <f t="shared" si="2"/>
        <v>0</v>
      </c>
      <c r="M29" s="1237">
        <f t="shared" si="3"/>
        <v>0</v>
      </c>
      <c r="N29" s="1237">
        <f>RBBD!I14</f>
        <v>0</v>
      </c>
      <c r="O29" s="1237">
        <f>RBBD!J14</f>
        <v>0</v>
      </c>
      <c r="P29" s="1237">
        <f>RBBD!K14</f>
        <v>0</v>
      </c>
      <c r="Q29" s="1237">
        <f>RBBD!L14</f>
        <v>0</v>
      </c>
      <c r="R29" s="1237">
        <f>RBBD!M14</f>
        <v>0</v>
      </c>
      <c r="S29" s="1237">
        <f>RBBD!N14</f>
        <v>0</v>
      </c>
      <c r="T29" s="1237">
        <f>RBBD!O14</f>
        <v>0</v>
      </c>
      <c r="U29" s="1237">
        <f>RBBD!P14</f>
        <v>0</v>
      </c>
      <c r="V29" s="1237">
        <f>RBBD!Q14</f>
        <v>0</v>
      </c>
      <c r="W29" s="1237">
        <f>RBBD!R14</f>
        <v>0</v>
      </c>
      <c r="X29" s="1237">
        <f>RBBD!S14</f>
        <v>0</v>
      </c>
      <c r="Y29" s="1237">
        <f>RBBD!T14</f>
        <v>0</v>
      </c>
      <c r="Z29" s="65"/>
      <c r="AA29" s="324">
        <f t="shared" si="4"/>
        <v>0</v>
      </c>
    </row>
    <row r="30" spans="2:27" hidden="1">
      <c r="B30" s="1237">
        <f>RBBD!B15</f>
        <v>0</v>
      </c>
      <c r="C30" s="1237">
        <f>RBBD!C15</f>
        <v>0</v>
      </c>
      <c r="D30" s="1237">
        <f>RBBD!D15</f>
        <v>0</v>
      </c>
      <c r="E30" s="1237">
        <f>RBBD!G15</f>
        <v>0</v>
      </c>
      <c r="F30" s="1237">
        <f>RBBD!H15</f>
        <v>0</v>
      </c>
      <c r="G30" s="1237">
        <f>RBBD!E15</f>
        <v>0</v>
      </c>
      <c r="H30" s="1237">
        <f>RBBD!F15</f>
        <v>0</v>
      </c>
      <c r="I30" s="1237">
        <f t="shared" si="2"/>
        <v>0</v>
      </c>
      <c r="J30" s="1237">
        <f t="shared" si="2"/>
        <v>0</v>
      </c>
      <c r="K30" s="1237">
        <f t="shared" si="2"/>
        <v>0</v>
      </c>
      <c r="L30" s="1237">
        <f t="shared" si="2"/>
        <v>0</v>
      </c>
      <c r="M30" s="1237">
        <f t="shared" si="3"/>
        <v>0</v>
      </c>
      <c r="N30" s="1237">
        <f>RBBD!I15</f>
        <v>0</v>
      </c>
      <c r="O30" s="1237">
        <f>RBBD!J15</f>
        <v>0</v>
      </c>
      <c r="P30" s="1237">
        <f>RBBD!K15</f>
        <v>0</v>
      </c>
      <c r="Q30" s="1237">
        <f>RBBD!L15</f>
        <v>0</v>
      </c>
      <c r="R30" s="1237">
        <f>RBBD!M15</f>
        <v>0</v>
      </c>
      <c r="S30" s="1237">
        <f>RBBD!N15</f>
        <v>0</v>
      </c>
      <c r="T30" s="1237">
        <f>RBBD!O15</f>
        <v>0</v>
      </c>
      <c r="U30" s="1237">
        <f>RBBD!P15</f>
        <v>0</v>
      </c>
      <c r="V30" s="1237">
        <f>RBBD!Q15</f>
        <v>0</v>
      </c>
      <c r="W30" s="1237">
        <f>RBBD!R15</f>
        <v>0</v>
      </c>
      <c r="X30" s="1237">
        <f>RBBD!S15</f>
        <v>0</v>
      </c>
      <c r="Y30" s="1237">
        <f>RBBD!T15</f>
        <v>0</v>
      </c>
      <c r="Z30" s="65"/>
      <c r="AA30" s="324">
        <f t="shared" si="4"/>
        <v>0</v>
      </c>
    </row>
    <row r="31" spans="2:27" hidden="1">
      <c r="B31" s="1237">
        <f>RBBD!B16</f>
        <v>0</v>
      </c>
      <c r="C31" s="1237">
        <f>RBBD!C16</f>
        <v>0</v>
      </c>
      <c r="D31" s="1237">
        <f>RBBD!D16</f>
        <v>0</v>
      </c>
      <c r="E31" s="1237">
        <f>RBBD!G16</f>
        <v>0</v>
      </c>
      <c r="F31" s="1237">
        <f>RBBD!H16</f>
        <v>0</v>
      </c>
      <c r="G31" s="1237">
        <f>RBBD!E16</f>
        <v>0</v>
      </c>
      <c r="H31" s="1237">
        <f>RBBD!F16</f>
        <v>0</v>
      </c>
      <c r="I31" s="1237">
        <f t="shared" si="2"/>
        <v>0</v>
      </c>
      <c r="J31" s="1237">
        <f t="shared" si="2"/>
        <v>0</v>
      </c>
      <c r="K31" s="1237">
        <f t="shared" si="2"/>
        <v>0</v>
      </c>
      <c r="L31" s="1237">
        <f t="shared" si="2"/>
        <v>0</v>
      </c>
      <c r="M31" s="1237">
        <f t="shared" si="3"/>
        <v>0</v>
      </c>
      <c r="N31" s="1237">
        <f>RBBD!I16</f>
        <v>0</v>
      </c>
      <c r="O31" s="1237">
        <f>RBBD!J16</f>
        <v>0</v>
      </c>
      <c r="P31" s="1237">
        <f>RBBD!K16</f>
        <v>0</v>
      </c>
      <c r="Q31" s="1237">
        <f>RBBD!L16</f>
        <v>0</v>
      </c>
      <c r="R31" s="1237">
        <f>RBBD!M16</f>
        <v>0</v>
      </c>
      <c r="S31" s="1237">
        <f>RBBD!N16</f>
        <v>0</v>
      </c>
      <c r="T31" s="1237">
        <f>RBBD!O16</f>
        <v>0</v>
      </c>
      <c r="U31" s="1237">
        <f>RBBD!P16</f>
        <v>0</v>
      </c>
      <c r="V31" s="1237">
        <f>RBBD!Q16</f>
        <v>0</v>
      </c>
      <c r="W31" s="1237">
        <f>RBBD!R16</f>
        <v>0</v>
      </c>
      <c r="X31" s="1237">
        <f>RBBD!S16</f>
        <v>0</v>
      </c>
      <c r="Y31" s="1237">
        <f>RBBD!T16</f>
        <v>0</v>
      </c>
      <c r="Z31" s="65"/>
      <c r="AA31" s="324">
        <f t="shared" si="4"/>
        <v>0</v>
      </c>
    </row>
    <row r="32" spans="2:27" hidden="1">
      <c r="B32" s="1237">
        <f>RBBD!B17</f>
        <v>0</v>
      </c>
      <c r="C32" s="1237">
        <f>RBBD!C17</f>
        <v>0</v>
      </c>
      <c r="D32" s="1237">
        <f>RBBD!D17</f>
        <v>0</v>
      </c>
      <c r="E32" s="1237">
        <f>RBBD!G17</f>
        <v>0</v>
      </c>
      <c r="F32" s="1237">
        <f>RBBD!H17</f>
        <v>0</v>
      </c>
      <c r="G32" s="1237">
        <f>RBBD!E17</f>
        <v>0</v>
      </c>
      <c r="H32" s="1237">
        <f>RBBD!F17</f>
        <v>0</v>
      </c>
      <c r="I32" s="1237">
        <f t="shared" si="2"/>
        <v>0</v>
      </c>
      <c r="J32" s="1237">
        <f t="shared" si="2"/>
        <v>0</v>
      </c>
      <c r="K32" s="1237">
        <f t="shared" si="2"/>
        <v>0</v>
      </c>
      <c r="L32" s="1237">
        <f t="shared" si="2"/>
        <v>0</v>
      </c>
      <c r="M32" s="1237">
        <f t="shared" si="3"/>
        <v>0</v>
      </c>
      <c r="N32" s="1237">
        <f>RBBD!I17</f>
        <v>0</v>
      </c>
      <c r="O32" s="1237">
        <f>RBBD!J17</f>
        <v>0</v>
      </c>
      <c r="P32" s="1237">
        <f>RBBD!K17</f>
        <v>0</v>
      </c>
      <c r="Q32" s="1237">
        <f>RBBD!L17</f>
        <v>0</v>
      </c>
      <c r="R32" s="1237">
        <f>RBBD!M17</f>
        <v>0</v>
      </c>
      <c r="S32" s="1237">
        <f>RBBD!N17</f>
        <v>0</v>
      </c>
      <c r="T32" s="1237">
        <f>RBBD!O17</f>
        <v>0</v>
      </c>
      <c r="U32" s="1237">
        <f>RBBD!P17</f>
        <v>0</v>
      </c>
      <c r="V32" s="1237">
        <f>RBBD!Q17</f>
        <v>0</v>
      </c>
      <c r="W32" s="1237">
        <f>RBBD!R17</f>
        <v>0</v>
      </c>
      <c r="X32" s="1237">
        <f>RBBD!S17</f>
        <v>0</v>
      </c>
      <c r="Y32" s="1237">
        <f>RBBD!T17</f>
        <v>0</v>
      </c>
      <c r="Z32" s="65"/>
      <c r="AA32" s="324">
        <f t="shared" si="4"/>
        <v>0</v>
      </c>
    </row>
    <row r="33" spans="2:27" hidden="1">
      <c r="B33" s="1237">
        <f>RBBD!B18</f>
        <v>0</v>
      </c>
      <c r="C33" s="1237">
        <f>RBBD!C18</f>
        <v>0</v>
      </c>
      <c r="D33" s="1237">
        <f>RBBD!D18</f>
        <v>0</v>
      </c>
      <c r="E33" s="1237">
        <f>RBBD!G18</f>
        <v>0</v>
      </c>
      <c r="F33" s="1237">
        <f>RBBD!H18</f>
        <v>0</v>
      </c>
      <c r="G33" s="1237">
        <f>RBBD!E18</f>
        <v>0</v>
      </c>
      <c r="H33" s="1237">
        <f>RBBD!F18</f>
        <v>0</v>
      </c>
      <c r="I33" s="1237">
        <f t="shared" si="2"/>
        <v>0</v>
      </c>
      <c r="J33" s="1237">
        <f t="shared" si="2"/>
        <v>0</v>
      </c>
      <c r="K33" s="1237">
        <f t="shared" si="2"/>
        <v>0</v>
      </c>
      <c r="L33" s="1237">
        <f t="shared" si="2"/>
        <v>0</v>
      </c>
      <c r="M33" s="1237">
        <f t="shared" si="3"/>
        <v>0</v>
      </c>
      <c r="N33" s="1237">
        <f>RBBD!I18</f>
        <v>0</v>
      </c>
      <c r="O33" s="1237">
        <f>RBBD!J18</f>
        <v>0</v>
      </c>
      <c r="P33" s="1237">
        <f>RBBD!K18</f>
        <v>0</v>
      </c>
      <c r="Q33" s="1237">
        <f>RBBD!L18</f>
        <v>0</v>
      </c>
      <c r="R33" s="1237">
        <f>RBBD!M18</f>
        <v>0</v>
      </c>
      <c r="S33" s="1237">
        <f>RBBD!N18</f>
        <v>0</v>
      </c>
      <c r="T33" s="1237">
        <f>RBBD!O18</f>
        <v>0</v>
      </c>
      <c r="U33" s="1237">
        <f>RBBD!P18</f>
        <v>0</v>
      </c>
      <c r="V33" s="1237">
        <f>RBBD!Q18</f>
        <v>0</v>
      </c>
      <c r="W33" s="1237">
        <f>RBBD!R18</f>
        <v>0</v>
      </c>
      <c r="X33" s="1237">
        <f>RBBD!S18</f>
        <v>0</v>
      </c>
      <c r="Y33" s="1237">
        <f>RBBD!T18</f>
        <v>0</v>
      </c>
      <c r="Z33" s="65"/>
      <c r="AA33" s="324">
        <f t="shared" si="4"/>
        <v>0</v>
      </c>
    </row>
    <row r="34" spans="2:27" hidden="1">
      <c r="B34" s="1237">
        <f>RBBD!B19</f>
        <v>0</v>
      </c>
      <c r="C34" s="1237">
        <f>RBBD!C19</f>
        <v>0</v>
      </c>
      <c r="D34" s="1237">
        <f>RBBD!D19</f>
        <v>0</v>
      </c>
      <c r="E34" s="1237">
        <f>RBBD!G19</f>
        <v>0</v>
      </c>
      <c r="F34" s="1237">
        <f>RBBD!H19</f>
        <v>0</v>
      </c>
      <c r="G34" s="1237">
        <f>RBBD!E19</f>
        <v>0</v>
      </c>
      <c r="H34" s="1237">
        <f>RBBD!F19</f>
        <v>0</v>
      </c>
      <c r="I34" s="1237">
        <f t="shared" si="2"/>
        <v>0</v>
      </c>
      <c r="J34" s="1237">
        <f t="shared" si="2"/>
        <v>0</v>
      </c>
      <c r="K34" s="1237">
        <f t="shared" si="2"/>
        <v>0</v>
      </c>
      <c r="L34" s="1237">
        <f t="shared" si="2"/>
        <v>0</v>
      </c>
      <c r="M34" s="1237">
        <f t="shared" si="3"/>
        <v>0</v>
      </c>
      <c r="N34" s="1237">
        <f>RBBD!I19</f>
        <v>0</v>
      </c>
      <c r="O34" s="1237">
        <f>RBBD!J19</f>
        <v>0</v>
      </c>
      <c r="P34" s="1237">
        <f>RBBD!K19</f>
        <v>0</v>
      </c>
      <c r="Q34" s="1237">
        <f>RBBD!L19</f>
        <v>0</v>
      </c>
      <c r="R34" s="1237">
        <f>RBBD!M19</f>
        <v>0</v>
      </c>
      <c r="S34" s="1237">
        <f>RBBD!N19</f>
        <v>0</v>
      </c>
      <c r="T34" s="1237">
        <f>RBBD!O19</f>
        <v>0</v>
      </c>
      <c r="U34" s="1237">
        <f>RBBD!P19</f>
        <v>0</v>
      </c>
      <c r="V34" s="1237">
        <f>RBBD!Q19</f>
        <v>0</v>
      </c>
      <c r="W34" s="1237">
        <f>RBBD!R19</f>
        <v>0</v>
      </c>
      <c r="X34" s="1237">
        <f>RBBD!S19</f>
        <v>0</v>
      </c>
      <c r="Y34" s="1237">
        <f>RBBD!T19</f>
        <v>0</v>
      </c>
      <c r="Z34" s="65"/>
      <c r="AA34" s="324">
        <f t="shared" si="4"/>
        <v>0</v>
      </c>
    </row>
    <row r="35" spans="2:27" hidden="1">
      <c r="B35" s="1237">
        <f>RBBD!B20</f>
        <v>0</v>
      </c>
      <c r="C35" s="1237">
        <f>RBBD!C20</f>
        <v>0</v>
      </c>
      <c r="D35" s="1237">
        <f>RBBD!D20</f>
        <v>0</v>
      </c>
      <c r="E35" s="1237">
        <f>RBBD!G20</f>
        <v>0</v>
      </c>
      <c r="F35" s="1237">
        <f>RBBD!H20</f>
        <v>0</v>
      </c>
      <c r="G35" s="1237">
        <f>RBBD!E20</f>
        <v>0</v>
      </c>
      <c r="H35" s="1237">
        <f>RBBD!F20</f>
        <v>0</v>
      </c>
      <c r="I35" s="1237">
        <f t="shared" si="2"/>
        <v>0</v>
      </c>
      <c r="J35" s="1237">
        <f t="shared" si="2"/>
        <v>0</v>
      </c>
      <c r="K35" s="1237">
        <f t="shared" si="2"/>
        <v>0</v>
      </c>
      <c r="L35" s="1237">
        <f t="shared" si="2"/>
        <v>0</v>
      </c>
      <c r="M35" s="1237">
        <f t="shared" si="3"/>
        <v>0</v>
      </c>
      <c r="N35" s="1237">
        <f>RBBD!I20</f>
        <v>0</v>
      </c>
      <c r="O35" s="1237">
        <f>RBBD!J20</f>
        <v>0</v>
      </c>
      <c r="P35" s="1237">
        <f>RBBD!K20</f>
        <v>0</v>
      </c>
      <c r="Q35" s="1237">
        <f>RBBD!L20</f>
        <v>0</v>
      </c>
      <c r="R35" s="1237">
        <f>RBBD!M20</f>
        <v>0</v>
      </c>
      <c r="S35" s="1237">
        <f>RBBD!N20</f>
        <v>0</v>
      </c>
      <c r="T35" s="1237">
        <f>RBBD!O20</f>
        <v>0</v>
      </c>
      <c r="U35" s="1237">
        <f>RBBD!P20</f>
        <v>0</v>
      </c>
      <c r="V35" s="1237">
        <f>RBBD!Q20</f>
        <v>0</v>
      </c>
      <c r="W35" s="1237">
        <f>RBBD!R20</f>
        <v>0</v>
      </c>
      <c r="X35" s="1237">
        <f>RBBD!S20</f>
        <v>0</v>
      </c>
      <c r="Y35" s="1237">
        <f>RBBD!T20</f>
        <v>0</v>
      </c>
      <c r="Z35" s="65"/>
      <c r="AA35" s="324">
        <f t="shared" si="4"/>
        <v>0</v>
      </c>
    </row>
    <row r="36" spans="2:27" hidden="1">
      <c r="B36" s="1237">
        <f>RBBD!B21</f>
        <v>0</v>
      </c>
      <c r="C36" s="1237">
        <f>RBBD!C21</f>
        <v>0</v>
      </c>
      <c r="D36" s="1237">
        <f>RBBD!D21</f>
        <v>0</v>
      </c>
      <c r="E36" s="1237">
        <f>RBBD!G21</f>
        <v>0</v>
      </c>
      <c r="F36" s="1237">
        <f>RBBD!H21</f>
        <v>0</v>
      </c>
      <c r="G36" s="1237">
        <f>RBBD!E21</f>
        <v>0</v>
      </c>
      <c r="H36" s="1237">
        <f>RBBD!F21</f>
        <v>0</v>
      </c>
      <c r="I36" s="1237">
        <f t="shared" si="2"/>
        <v>0</v>
      </c>
      <c r="J36" s="1237">
        <f t="shared" si="2"/>
        <v>0</v>
      </c>
      <c r="K36" s="1237">
        <f t="shared" si="2"/>
        <v>0</v>
      </c>
      <c r="L36" s="1237">
        <f t="shared" si="2"/>
        <v>0</v>
      </c>
      <c r="M36" s="1237">
        <f t="shared" si="3"/>
        <v>0</v>
      </c>
      <c r="N36" s="1237">
        <f>RBBD!I21</f>
        <v>0</v>
      </c>
      <c r="O36" s="1237">
        <f>RBBD!J21</f>
        <v>0</v>
      </c>
      <c r="P36" s="1237">
        <f>RBBD!K21</f>
        <v>0</v>
      </c>
      <c r="Q36" s="1237">
        <f>RBBD!L21</f>
        <v>0</v>
      </c>
      <c r="R36" s="1237">
        <f>RBBD!M21</f>
        <v>0</v>
      </c>
      <c r="S36" s="1237">
        <f>RBBD!N21</f>
        <v>0</v>
      </c>
      <c r="T36" s="1237">
        <f>RBBD!O21</f>
        <v>0</v>
      </c>
      <c r="U36" s="1237">
        <f>RBBD!P21</f>
        <v>0</v>
      </c>
      <c r="V36" s="1237">
        <f>RBBD!Q21</f>
        <v>0</v>
      </c>
      <c r="W36" s="1237">
        <f>RBBD!R21</f>
        <v>0</v>
      </c>
      <c r="X36" s="1237">
        <f>RBBD!S21</f>
        <v>0</v>
      </c>
      <c r="Y36" s="1237">
        <f>RBBD!T21</f>
        <v>0</v>
      </c>
      <c r="Z36" s="65"/>
      <c r="AA36" s="324">
        <f t="shared" si="4"/>
        <v>0</v>
      </c>
    </row>
    <row r="37" spans="2:27" hidden="1">
      <c r="B37" s="1237">
        <f>RBBD!B22</f>
        <v>0</v>
      </c>
      <c r="C37" s="1237">
        <f>RBBD!C22</f>
        <v>0</v>
      </c>
      <c r="D37" s="1237">
        <f>RBBD!D22</f>
        <v>0</v>
      </c>
      <c r="E37" s="1237">
        <f>RBBD!G22</f>
        <v>0</v>
      </c>
      <c r="F37" s="1237">
        <f>RBBD!H22</f>
        <v>0</v>
      </c>
      <c r="G37" s="1237">
        <f>RBBD!E22</f>
        <v>0</v>
      </c>
      <c r="H37" s="1237">
        <f>RBBD!F22</f>
        <v>0</v>
      </c>
      <c r="I37" s="1237">
        <f t="shared" si="2"/>
        <v>0</v>
      </c>
      <c r="J37" s="1237">
        <f t="shared" si="2"/>
        <v>0</v>
      </c>
      <c r="K37" s="1237">
        <f t="shared" si="2"/>
        <v>0</v>
      </c>
      <c r="L37" s="1237">
        <f t="shared" si="2"/>
        <v>0</v>
      </c>
      <c r="M37" s="1237">
        <f t="shared" si="3"/>
        <v>0</v>
      </c>
      <c r="N37" s="1237">
        <f>RBBD!I22</f>
        <v>0</v>
      </c>
      <c r="O37" s="1237">
        <f>RBBD!J22</f>
        <v>0</v>
      </c>
      <c r="P37" s="1237">
        <f>RBBD!K22</f>
        <v>0</v>
      </c>
      <c r="Q37" s="1237">
        <f>RBBD!L22</f>
        <v>0</v>
      </c>
      <c r="R37" s="1237">
        <f>RBBD!M22</f>
        <v>0</v>
      </c>
      <c r="S37" s="1237">
        <f>RBBD!N22</f>
        <v>0</v>
      </c>
      <c r="T37" s="1237">
        <f>RBBD!O22</f>
        <v>0</v>
      </c>
      <c r="U37" s="1237">
        <f>RBBD!P22</f>
        <v>0</v>
      </c>
      <c r="V37" s="1237">
        <f>RBBD!Q22</f>
        <v>0</v>
      </c>
      <c r="W37" s="1237">
        <f>RBBD!R22</f>
        <v>0</v>
      </c>
      <c r="X37" s="1237">
        <f>RBBD!S22</f>
        <v>0</v>
      </c>
      <c r="Y37" s="1237">
        <f>RBBD!T22</f>
        <v>0</v>
      </c>
      <c r="Z37" s="65"/>
      <c r="AA37" s="324">
        <f t="shared" si="4"/>
        <v>0</v>
      </c>
    </row>
    <row r="38" spans="2:27" hidden="1">
      <c r="B38" s="1237">
        <f>RBBD!B23</f>
        <v>0</v>
      </c>
      <c r="C38" s="1237">
        <f>RBBD!C23</f>
        <v>0</v>
      </c>
      <c r="D38" s="1237">
        <f>RBBD!D23</f>
        <v>0</v>
      </c>
      <c r="E38" s="1237">
        <f>RBBD!G23</f>
        <v>0</v>
      </c>
      <c r="F38" s="1237">
        <f>RBBD!H23</f>
        <v>0</v>
      </c>
      <c r="G38" s="1237">
        <f>RBBD!E23</f>
        <v>0</v>
      </c>
      <c r="H38" s="1237">
        <f>RBBD!F23</f>
        <v>0</v>
      </c>
      <c r="I38" s="1237">
        <f t="shared" si="2"/>
        <v>0</v>
      </c>
      <c r="J38" s="1237">
        <f t="shared" si="2"/>
        <v>0</v>
      </c>
      <c r="K38" s="1237">
        <f t="shared" si="2"/>
        <v>0</v>
      </c>
      <c r="L38" s="1237">
        <f t="shared" si="2"/>
        <v>0</v>
      </c>
      <c r="M38" s="1237">
        <f t="shared" si="3"/>
        <v>0</v>
      </c>
      <c r="N38" s="1237">
        <f>RBBD!I23</f>
        <v>0</v>
      </c>
      <c r="O38" s="1237">
        <f>RBBD!J23</f>
        <v>0</v>
      </c>
      <c r="P38" s="1237">
        <f>RBBD!K23</f>
        <v>0</v>
      </c>
      <c r="Q38" s="1237">
        <f>RBBD!L23</f>
        <v>0</v>
      </c>
      <c r="R38" s="1237">
        <f>RBBD!M23</f>
        <v>0</v>
      </c>
      <c r="S38" s="1237">
        <f>RBBD!N23</f>
        <v>0</v>
      </c>
      <c r="T38" s="1237">
        <f>RBBD!O23</f>
        <v>0</v>
      </c>
      <c r="U38" s="1237">
        <f>RBBD!P23</f>
        <v>0</v>
      </c>
      <c r="V38" s="1237">
        <f>RBBD!Q23</f>
        <v>0</v>
      </c>
      <c r="W38" s="1237">
        <f>RBBD!R23</f>
        <v>0</v>
      </c>
      <c r="X38" s="1237">
        <f>RBBD!S23</f>
        <v>0</v>
      </c>
      <c r="Y38" s="1237">
        <f>RBBD!T23</f>
        <v>0</v>
      </c>
      <c r="Z38" s="65"/>
      <c r="AA38" s="324">
        <f t="shared" si="4"/>
        <v>0</v>
      </c>
    </row>
    <row r="39" spans="2:27" hidden="1">
      <c r="B39" s="1237">
        <f>RBBD!B24</f>
        <v>0</v>
      </c>
      <c r="C39" s="1237">
        <f>RBBD!C24</f>
        <v>0</v>
      </c>
      <c r="D39" s="1237">
        <f>RBBD!D24</f>
        <v>0</v>
      </c>
      <c r="E39" s="1237">
        <f>RBBD!G24</f>
        <v>0</v>
      </c>
      <c r="F39" s="1237">
        <f>RBBD!H24</f>
        <v>0</v>
      </c>
      <c r="G39" s="1237">
        <f>RBBD!E24</f>
        <v>0</v>
      </c>
      <c r="H39" s="1237">
        <f>RBBD!F24</f>
        <v>0</v>
      </c>
      <c r="I39" s="1237">
        <f t="shared" si="2"/>
        <v>0</v>
      </c>
      <c r="J39" s="1237">
        <f t="shared" si="2"/>
        <v>0</v>
      </c>
      <c r="K39" s="1237">
        <f t="shared" si="2"/>
        <v>0</v>
      </c>
      <c r="L39" s="1237">
        <f t="shared" si="2"/>
        <v>0</v>
      </c>
      <c r="M39" s="1237">
        <f t="shared" si="3"/>
        <v>0</v>
      </c>
      <c r="N39" s="1237">
        <f>RBBD!I24</f>
        <v>0</v>
      </c>
      <c r="O39" s="1237">
        <f>RBBD!J24</f>
        <v>0</v>
      </c>
      <c r="P39" s="1237">
        <f>RBBD!K24</f>
        <v>0</v>
      </c>
      <c r="Q39" s="1237">
        <f>RBBD!L24</f>
        <v>0</v>
      </c>
      <c r="R39" s="1237">
        <f>RBBD!M24</f>
        <v>0</v>
      </c>
      <c r="S39" s="1237">
        <f>RBBD!N24</f>
        <v>0</v>
      </c>
      <c r="T39" s="1237">
        <f>RBBD!O24</f>
        <v>0</v>
      </c>
      <c r="U39" s="1237">
        <f>RBBD!P24</f>
        <v>0</v>
      </c>
      <c r="V39" s="1237">
        <f>RBBD!Q24</f>
        <v>0</v>
      </c>
      <c r="W39" s="1237">
        <f>RBBD!R24</f>
        <v>0</v>
      </c>
      <c r="X39" s="1237">
        <f>RBBD!S24</f>
        <v>0</v>
      </c>
      <c r="Y39" s="1237">
        <f>RBBD!T24</f>
        <v>0</v>
      </c>
      <c r="Z39" s="65"/>
      <c r="AA39" s="324">
        <f t="shared" ref="AA39:AA60" si="5">IF(B39=0,0,1)</f>
        <v>0</v>
      </c>
    </row>
    <row r="40" spans="2:27" hidden="1">
      <c r="B40" s="1237">
        <f>RBBD!B25</f>
        <v>0</v>
      </c>
      <c r="C40" s="1237">
        <f>RBBD!C25</f>
        <v>0</v>
      </c>
      <c r="D40" s="1237">
        <f>RBBD!D25</f>
        <v>0</v>
      </c>
      <c r="E40" s="1237">
        <f>RBBD!G25</f>
        <v>0</v>
      </c>
      <c r="F40" s="1237">
        <f>RBBD!H25</f>
        <v>0</v>
      </c>
      <c r="G40" s="1237">
        <f>RBBD!E25</f>
        <v>0</v>
      </c>
      <c r="H40" s="1237">
        <f>RBBD!F25</f>
        <v>0</v>
      </c>
      <c r="I40" s="1237">
        <f t="shared" si="2"/>
        <v>0</v>
      </c>
      <c r="J40" s="1237">
        <f t="shared" si="2"/>
        <v>0</v>
      </c>
      <c r="K40" s="1237">
        <f t="shared" si="2"/>
        <v>0</v>
      </c>
      <c r="L40" s="1237">
        <f t="shared" si="2"/>
        <v>0</v>
      </c>
      <c r="M40" s="1237">
        <f t="shared" si="3"/>
        <v>0</v>
      </c>
      <c r="N40" s="1237">
        <f>RBBD!I25</f>
        <v>0</v>
      </c>
      <c r="O40" s="1237">
        <f>RBBD!J25</f>
        <v>0</v>
      </c>
      <c r="P40" s="1237">
        <f>RBBD!K25</f>
        <v>0</v>
      </c>
      <c r="Q40" s="1237">
        <f>RBBD!L25</f>
        <v>0</v>
      </c>
      <c r="R40" s="1237">
        <f>RBBD!M25</f>
        <v>0</v>
      </c>
      <c r="S40" s="1237">
        <f>RBBD!N25</f>
        <v>0</v>
      </c>
      <c r="T40" s="1237">
        <f>RBBD!O25</f>
        <v>0</v>
      </c>
      <c r="U40" s="1237">
        <f>RBBD!P25</f>
        <v>0</v>
      </c>
      <c r="V40" s="1237">
        <f>RBBD!Q25</f>
        <v>0</v>
      </c>
      <c r="W40" s="1237">
        <f>RBBD!R25</f>
        <v>0</v>
      </c>
      <c r="X40" s="1237">
        <f>RBBD!S25</f>
        <v>0</v>
      </c>
      <c r="Y40" s="1237">
        <f>RBBD!T25</f>
        <v>0</v>
      </c>
      <c r="Z40" s="65"/>
      <c r="AA40" s="324">
        <f t="shared" si="5"/>
        <v>0</v>
      </c>
    </row>
    <row r="41" spans="2:27" hidden="1">
      <c r="B41" s="1237">
        <f>RBBD!B26</f>
        <v>0</v>
      </c>
      <c r="C41" s="1237">
        <f>RBBD!C26</f>
        <v>0</v>
      </c>
      <c r="D41" s="1237">
        <f>RBBD!D26</f>
        <v>0</v>
      </c>
      <c r="E41" s="1237">
        <f>RBBD!G26</f>
        <v>0</v>
      </c>
      <c r="F41" s="1237">
        <f>RBBD!H26</f>
        <v>0</v>
      </c>
      <c r="G41" s="1237">
        <f>RBBD!E26</f>
        <v>0</v>
      </c>
      <c r="H41" s="1237">
        <f>RBBD!F26</f>
        <v>0</v>
      </c>
      <c r="I41" s="1237">
        <f t="shared" si="2"/>
        <v>0</v>
      </c>
      <c r="J41" s="1237">
        <f t="shared" si="2"/>
        <v>0</v>
      </c>
      <c r="K41" s="1237">
        <f t="shared" si="2"/>
        <v>0</v>
      </c>
      <c r="L41" s="1237">
        <f t="shared" si="2"/>
        <v>0</v>
      </c>
      <c r="M41" s="1237">
        <f t="shared" si="3"/>
        <v>0</v>
      </c>
      <c r="N41" s="1237">
        <f>RBBD!I26</f>
        <v>0</v>
      </c>
      <c r="O41" s="1237">
        <f>RBBD!J26</f>
        <v>0</v>
      </c>
      <c r="P41" s="1237">
        <f>RBBD!K26</f>
        <v>0</v>
      </c>
      <c r="Q41" s="1237">
        <f>RBBD!L26</f>
        <v>0</v>
      </c>
      <c r="R41" s="1237">
        <f>RBBD!M26</f>
        <v>0</v>
      </c>
      <c r="S41" s="1237">
        <f>RBBD!N26</f>
        <v>0</v>
      </c>
      <c r="T41" s="1237">
        <f>RBBD!O26</f>
        <v>0</v>
      </c>
      <c r="U41" s="1237">
        <f>RBBD!P26</f>
        <v>0</v>
      </c>
      <c r="V41" s="1237">
        <f>RBBD!Q26</f>
        <v>0</v>
      </c>
      <c r="W41" s="1237">
        <f>RBBD!R26</f>
        <v>0</v>
      </c>
      <c r="X41" s="1237">
        <f>RBBD!S26</f>
        <v>0</v>
      </c>
      <c r="Y41" s="1237">
        <f>RBBD!T26</f>
        <v>0</v>
      </c>
      <c r="Z41" s="65"/>
      <c r="AA41" s="324">
        <f t="shared" si="5"/>
        <v>0</v>
      </c>
    </row>
    <row r="42" spans="2:27" hidden="1">
      <c r="B42" s="1237">
        <f>RBBD!B27</f>
        <v>0</v>
      </c>
      <c r="C42" s="1237">
        <f>RBBD!C27</f>
        <v>0</v>
      </c>
      <c r="D42" s="1237">
        <f>RBBD!D27</f>
        <v>0</v>
      </c>
      <c r="E42" s="1237">
        <f>RBBD!G27</f>
        <v>0</v>
      </c>
      <c r="F42" s="1237">
        <f>RBBD!H27</f>
        <v>0</v>
      </c>
      <c r="G42" s="1237">
        <f>RBBD!E27</f>
        <v>0</v>
      </c>
      <c r="H42" s="1237">
        <f>RBBD!F27</f>
        <v>0</v>
      </c>
      <c r="I42" s="1237">
        <f t="shared" si="2"/>
        <v>0</v>
      </c>
      <c r="J42" s="1237">
        <f t="shared" si="2"/>
        <v>0</v>
      </c>
      <c r="K42" s="1237">
        <f t="shared" si="2"/>
        <v>0</v>
      </c>
      <c r="L42" s="1237">
        <f t="shared" si="2"/>
        <v>0</v>
      </c>
      <c r="M42" s="1237">
        <f t="shared" si="3"/>
        <v>0</v>
      </c>
      <c r="N42" s="1237">
        <f>RBBD!I27</f>
        <v>0</v>
      </c>
      <c r="O42" s="1237">
        <f>RBBD!J27</f>
        <v>0</v>
      </c>
      <c r="P42" s="1237">
        <f>RBBD!K27</f>
        <v>0</v>
      </c>
      <c r="Q42" s="1237">
        <f>RBBD!L27</f>
        <v>0</v>
      </c>
      <c r="R42" s="1237">
        <f>RBBD!M27</f>
        <v>0</v>
      </c>
      <c r="S42" s="1237">
        <f>RBBD!N27</f>
        <v>0</v>
      </c>
      <c r="T42" s="1237">
        <f>RBBD!O27</f>
        <v>0</v>
      </c>
      <c r="U42" s="1237">
        <f>RBBD!P27</f>
        <v>0</v>
      </c>
      <c r="V42" s="1237">
        <f>RBBD!Q27</f>
        <v>0</v>
      </c>
      <c r="W42" s="1237">
        <f>RBBD!R27</f>
        <v>0</v>
      </c>
      <c r="X42" s="1237">
        <f>RBBD!S27</f>
        <v>0</v>
      </c>
      <c r="Y42" s="1237">
        <f>RBBD!T27</f>
        <v>0</v>
      </c>
      <c r="Z42" s="65"/>
      <c r="AA42" s="324">
        <f t="shared" si="5"/>
        <v>0</v>
      </c>
    </row>
    <row r="43" spans="2:27" hidden="1">
      <c r="B43" s="1237">
        <f>RBBD!B28</f>
        <v>0</v>
      </c>
      <c r="C43" s="1237">
        <f>RBBD!C28</f>
        <v>0</v>
      </c>
      <c r="D43" s="1237">
        <f>RBBD!D28</f>
        <v>0</v>
      </c>
      <c r="E43" s="1237">
        <f>RBBD!G28</f>
        <v>0</v>
      </c>
      <c r="F43" s="1237">
        <f>RBBD!H28</f>
        <v>0</v>
      </c>
      <c r="G43" s="1237">
        <f>RBBD!E28</f>
        <v>0</v>
      </c>
      <c r="H43" s="1237">
        <f>RBBD!F28</f>
        <v>0</v>
      </c>
      <c r="I43" s="1237">
        <f t="shared" si="2"/>
        <v>0</v>
      </c>
      <c r="J43" s="1237">
        <f t="shared" si="2"/>
        <v>0</v>
      </c>
      <c r="K43" s="1237">
        <f t="shared" si="2"/>
        <v>0</v>
      </c>
      <c r="L43" s="1237">
        <f t="shared" si="2"/>
        <v>0</v>
      </c>
      <c r="M43" s="1237">
        <f t="shared" si="3"/>
        <v>0</v>
      </c>
      <c r="N43" s="1237">
        <f>RBBD!I28</f>
        <v>0</v>
      </c>
      <c r="O43" s="1237">
        <f>RBBD!J28</f>
        <v>0</v>
      </c>
      <c r="P43" s="1237">
        <f>RBBD!K28</f>
        <v>0</v>
      </c>
      <c r="Q43" s="1237">
        <f>RBBD!L28</f>
        <v>0</v>
      </c>
      <c r="R43" s="1237">
        <f>RBBD!M28</f>
        <v>0</v>
      </c>
      <c r="S43" s="1237">
        <f>RBBD!N28</f>
        <v>0</v>
      </c>
      <c r="T43" s="1237">
        <f>RBBD!O28</f>
        <v>0</v>
      </c>
      <c r="U43" s="1237">
        <f>RBBD!P28</f>
        <v>0</v>
      </c>
      <c r="V43" s="1237">
        <f>RBBD!Q28</f>
        <v>0</v>
      </c>
      <c r="W43" s="1237">
        <f>RBBD!R28</f>
        <v>0</v>
      </c>
      <c r="X43" s="1237">
        <f>RBBD!S28</f>
        <v>0</v>
      </c>
      <c r="Y43" s="1237">
        <f>RBBD!T28</f>
        <v>0</v>
      </c>
      <c r="Z43" s="65"/>
      <c r="AA43" s="324">
        <f t="shared" si="5"/>
        <v>0</v>
      </c>
    </row>
    <row r="44" spans="2:27" hidden="1">
      <c r="B44" s="1237">
        <f>RBBD!B29</f>
        <v>0</v>
      </c>
      <c r="C44" s="1237">
        <f>RBBD!C29</f>
        <v>0</v>
      </c>
      <c r="D44" s="1237">
        <f>RBBD!D29</f>
        <v>0</v>
      </c>
      <c r="E44" s="1237">
        <f>RBBD!G29</f>
        <v>0</v>
      </c>
      <c r="F44" s="1237">
        <f>RBBD!H29</f>
        <v>0</v>
      </c>
      <c r="G44" s="1237">
        <f>RBBD!E29</f>
        <v>0</v>
      </c>
      <c r="H44" s="1237">
        <f>RBBD!F29</f>
        <v>0</v>
      </c>
      <c r="I44" s="1237">
        <f t="shared" si="2"/>
        <v>0</v>
      </c>
      <c r="J44" s="1237">
        <f t="shared" si="2"/>
        <v>0</v>
      </c>
      <c r="K44" s="1237">
        <f t="shared" si="2"/>
        <v>0</v>
      </c>
      <c r="L44" s="1237">
        <f t="shared" si="2"/>
        <v>0</v>
      </c>
      <c r="M44" s="1237">
        <f t="shared" si="3"/>
        <v>0</v>
      </c>
      <c r="N44" s="1237">
        <f>RBBD!I29</f>
        <v>0</v>
      </c>
      <c r="O44" s="1237">
        <f>RBBD!J29</f>
        <v>0</v>
      </c>
      <c r="P44" s="1237">
        <f>RBBD!K29</f>
        <v>0</v>
      </c>
      <c r="Q44" s="1237">
        <f>RBBD!L29</f>
        <v>0</v>
      </c>
      <c r="R44" s="1237">
        <f>RBBD!M29</f>
        <v>0</v>
      </c>
      <c r="S44" s="1237">
        <f>RBBD!N29</f>
        <v>0</v>
      </c>
      <c r="T44" s="1237">
        <f>RBBD!O29</f>
        <v>0</v>
      </c>
      <c r="U44" s="1237">
        <f>RBBD!P29</f>
        <v>0</v>
      </c>
      <c r="V44" s="1237">
        <f>RBBD!Q29</f>
        <v>0</v>
      </c>
      <c r="W44" s="1237">
        <f>RBBD!R29</f>
        <v>0</v>
      </c>
      <c r="X44" s="1237">
        <f>RBBD!S29</f>
        <v>0</v>
      </c>
      <c r="Y44" s="1237">
        <f>RBBD!T29</f>
        <v>0</v>
      </c>
      <c r="Z44" s="65"/>
      <c r="AA44" s="324">
        <f t="shared" si="5"/>
        <v>0</v>
      </c>
    </row>
    <row r="45" spans="2:27" hidden="1">
      <c r="B45" s="1237">
        <f>RBBD!B30</f>
        <v>0</v>
      </c>
      <c r="C45" s="1237">
        <f>RBBD!C30</f>
        <v>0</v>
      </c>
      <c r="D45" s="1237">
        <f>RBBD!D30</f>
        <v>0</v>
      </c>
      <c r="E45" s="1237">
        <f>RBBD!G30</f>
        <v>0</v>
      </c>
      <c r="F45" s="1237">
        <f>RBBD!H30</f>
        <v>0</v>
      </c>
      <c r="G45" s="1237">
        <f>RBBD!E30</f>
        <v>0</v>
      </c>
      <c r="H45" s="1237">
        <f>RBBD!F30</f>
        <v>0</v>
      </c>
      <c r="I45" s="1237">
        <f t="shared" si="2"/>
        <v>0</v>
      </c>
      <c r="J45" s="1237">
        <f t="shared" si="2"/>
        <v>0</v>
      </c>
      <c r="K45" s="1237">
        <f t="shared" si="2"/>
        <v>0</v>
      </c>
      <c r="L45" s="1237">
        <f t="shared" si="2"/>
        <v>0</v>
      </c>
      <c r="M45" s="1237">
        <f t="shared" si="3"/>
        <v>0</v>
      </c>
      <c r="N45" s="1237">
        <f>RBBD!I30</f>
        <v>0</v>
      </c>
      <c r="O45" s="1237">
        <f>RBBD!J30</f>
        <v>0</v>
      </c>
      <c r="P45" s="1237">
        <f>RBBD!K30</f>
        <v>0</v>
      </c>
      <c r="Q45" s="1237">
        <f>RBBD!L30</f>
        <v>0</v>
      </c>
      <c r="R45" s="1237">
        <f>RBBD!M30</f>
        <v>0</v>
      </c>
      <c r="S45" s="1237">
        <f>RBBD!N30</f>
        <v>0</v>
      </c>
      <c r="T45" s="1237">
        <f>RBBD!O30</f>
        <v>0</v>
      </c>
      <c r="U45" s="1237">
        <f>RBBD!P30</f>
        <v>0</v>
      </c>
      <c r="V45" s="1237">
        <f>RBBD!Q30</f>
        <v>0</v>
      </c>
      <c r="W45" s="1237">
        <f>RBBD!R30</f>
        <v>0</v>
      </c>
      <c r="X45" s="1237">
        <f>RBBD!S30</f>
        <v>0</v>
      </c>
      <c r="Y45" s="1237">
        <f>RBBD!T30</f>
        <v>0</v>
      </c>
      <c r="Z45" s="65"/>
      <c r="AA45" s="324">
        <f t="shared" si="5"/>
        <v>0</v>
      </c>
    </row>
    <row r="46" spans="2:27" hidden="1">
      <c r="B46" s="1237">
        <f>RBBD!B31</f>
        <v>0</v>
      </c>
      <c r="C46" s="1237">
        <f>RBBD!C31</f>
        <v>0</v>
      </c>
      <c r="D46" s="1237">
        <f>RBBD!D31</f>
        <v>0</v>
      </c>
      <c r="E46" s="1237">
        <f>RBBD!G31</f>
        <v>0</v>
      </c>
      <c r="F46" s="1237">
        <f>RBBD!H31</f>
        <v>0</v>
      </c>
      <c r="G46" s="1237">
        <f>RBBD!E31</f>
        <v>0</v>
      </c>
      <c r="H46" s="1237">
        <f>RBBD!F31</f>
        <v>0</v>
      </c>
      <c r="I46" s="1237">
        <f t="shared" si="2"/>
        <v>0</v>
      </c>
      <c r="J46" s="1237">
        <f t="shared" si="2"/>
        <v>0</v>
      </c>
      <c r="K46" s="1237">
        <f t="shared" si="2"/>
        <v>0</v>
      </c>
      <c r="L46" s="1237">
        <f t="shared" si="2"/>
        <v>0</v>
      </c>
      <c r="M46" s="1237">
        <f t="shared" si="3"/>
        <v>0</v>
      </c>
      <c r="N46" s="1237">
        <f>RBBD!I31</f>
        <v>0</v>
      </c>
      <c r="O46" s="1237">
        <f>RBBD!J31</f>
        <v>0</v>
      </c>
      <c r="P46" s="1237">
        <f>RBBD!K31</f>
        <v>0</v>
      </c>
      <c r="Q46" s="1237">
        <f>RBBD!L31</f>
        <v>0</v>
      </c>
      <c r="R46" s="1237">
        <f>RBBD!M31</f>
        <v>0</v>
      </c>
      <c r="S46" s="1237">
        <f>RBBD!N31</f>
        <v>0</v>
      </c>
      <c r="T46" s="1237">
        <f>RBBD!O31</f>
        <v>0</v>
      </c>
      <c r="U46" s="1237">
        <f>RBBD!P31</f>
        <v>0</v>
      </c>
      <c r="V46" s="1237">
        <f>RBBD!Q31</f>
        <v>0</v>
      </c>
      <c r="W46" s="1237">
        <f>RBBD!R31</f>
        <v>0</v>
      </c>
      <c r="X46" s="1237">
        <f>RBBD!S31</f>
        <v>0</v>
      </c>
      <c r="Y46" s="1237">
        <f>RBBD!T31</f>
        <v>0</v>
      </c>
      <c r="Z46" s="65"/>
      <c r="AA46" s="324">
        <f t="shared" si="5"/>
        <v>0</v>
      </c>
    </row>
    <row r="47" spans="2:27" hidden="1">
      <c r="B47" s="1237">
        <f>RBBD!B32</f>
        <v>0</v>
      </c>
      <c r="C47" s="1237">
        <f>RBBD!C32</f>
        <v>0</v>
      </c>
      <c r="D47" s="1237">
        <f>RBBD!D32</f>
        <v>0</v>
      </c>
      <c r="E47" s="1237">
        <f>RBBD!G32</f>
        <v>0</v>
      </c>
      <c r="F47" s="1237">
        <f>RBBD!H32</f>
        <v>0</v>
      </c>
      <c r="G47" s="1237">
        <f>RBBD!E32</f>
        <v>0</v>
      </c>
      <c r="H47" s="1237">
        <f>RBBD!F32</f>
        <v>0</v>
      </c>
      <c r="I47" s="1237">
        <f t="shared" si="2"/>
        <v>0</v>
      </c>
      <c r="J47" s="1237">
        <f t="shared" si="2"/>
        <v>0</v>
      </c>
      <c r="K47" s="1237">
        <f t="shared" si="2"/>
        <v>0</v>
      </c>
      <c r="L47" s="1237">
        <f t="shared" si="2"/>
        <v>0</v>
      </c>
      <c r="M47" s="1237">
        <f t="shared" si="3"/>
        <v>0</v>
      </c>
      <c r="N47" s="1237">
        <f>RBBD!I32</f>
        <v>0</v>
      </c>
      <c r="O47" s="1237">
        <f>RBBD!J32</f>
        <v>0</v>
      </c>
      <c r="P47" s="1237">
        <f>RBBD!K32</f>
        <v>0</v>
      </c>
      <c r="Q47" s="1237">
        <f>RBBD!L32</f>
        <v>0</v>
      </c>
      <c r="R47" s="1237">
        <f>RBBD!M32</f>
        <v>0</v>
      </c>
      <c r="S47" s="1237">
        <f>RBBD!N32</f>
        <v>0</v>
      </c>
      <c r="T47" s="1237">
        <f>RBBD!O32</f>
        <v>0</v>
      </c>
      <c r="U47" s="1237">
        <f>RBBD!P32</f>
        <v>0</v>
      </c>
      <c r="V47" s="1237">
        <f>RBBD!Q32</f>
        <v>0</v>
      </c>
      <c r="W47" s="1237">
        <f>RBBD!R32</f>
        <v>0</v>
      </c>
      <c r="X47" s="1237">
        <f>RBBD!S32</f>
        <v>0</v>
      </c>
      <c r="Y47" s="1237">
        <f>RBBD!T32</f>
        <v>0</v>
      </c>
      <c r="Z47" s="65"/>
      <c r="AA47" s="324">
        <f t="shared" si="5"/>
        <v>0</v>
      </c>
    </row>
    <row r="48" spans="2:27" hidden="1">
      <c r="B48" s="1237">
        <f>RBBD!B33</f>
        <v>0</v>
      </c>
      <c r="C48" s="1237">
        <f>RBBD!C33</f>
        <v>0</v>
      </c>
      <c r="D48" s="1237">
        <f>RBBD!D33</f>
        <v>0</v>
      </c>
      <c r="E48" s="1237">
        <f>RBBD!G33</f>
        <v>0</v>
      </c>
      <c r="F48" s="1237">
        <f>RBBD!H33</f>
        <v>0</v>
      </c>
      <c r="G48" s="1237">
        <f>RBBD!E33</f>
        <v>0</v>
      </c>
      <c r="H48" s="1237">
        <f>RBBD!F33</f>
        <v>0</v>
      </c>
      <c r="I48" s="1237">
        <f t="shared" si="2"/>
        <v>0</v>
      </c>
      <c r="J48" s="1237">
        <f t="shared" si="2"/>
        <v>0</v>
      </c>
      <c r="K48" s="1237">
        <f t="shared" si="2"/>
        <v>0</v>
      </c>
      <c r="L48" s="1237">
        <f t="shared" si="2"/>
        <v>0</v>
      </c>
      <c r="M48" s="1237">
        <f t="shared" si="3"/>
        <v>0</v>
      </c>
      <c r="N48" s="1237">
        <f>RBBD!I33</f>
        <v>0</v>
      </c>
      <c r="O48" s="1237">
        <f>RBBD!J33</f>
        <v>0</v>
      </c>
      <c r="P48" s="1237">
        <f>RBBD!K33</f>
        <v>0</v>
      </c>
      <c r="Q48" s="1237">
        <f>RBBD!L33</f>
        <v>0</v>
      </c>
      <c r="R48" s="1237">
        <f>RBBD!M33</f>
        <v>0</v>
      </c>
      <c r="S48" s="1237">
        <f>RBBD!N33</f>
        <v>0</v>
      </c>
      <c r="T48" s="1237">
        <f>RBBD!O33</f>
        <v>0</v>
      </c>
      <c r="U48" s="1237">
        <f>RBBD!P33</f>
        <v>0</v>
      </c>
      <c r="V48" s="1237">
        <f>RBBD!Q33</f>
        <v>0</v>
      </c>
      <c r="W48" s="1237">
        <f>RBBD!R33</f>
        <v>0</v>
      </c>
      <c r="X48" s="1237">
        <f>RBBD!S33</f>
        <v>0</v>
      </c>
      <c r="Y48" s="1237">
        <f>RBBD!T33</f>
        <v>0</v>
      </c>
      <c r="Z48" s="65"/>
      <c r="AA48" s="324">
        <f t="shared" si="5"/>
        <v>0</v>
      </c>
    </row>
    <row r="49" spans="2:27" hidden="1">
      <c r="B49" s="1237">
        <f>RBBD!B34</f>
        <v>0</v>
      </c>
      <c r="C49" s="1237">
        <f>RBBD!C34</f>
        <v>0</v>
      </c>
      <c r="D49" s="1237">
        <f>RBBD!D34</f>
        <v>0</v>
      </c>
      <c r="E49" s="1237">
        <f>RBBD!G34</f>
        <v>0</v>
      </c>
      <c r="F49" s="1237">
        <f>RBBD!H34</f>
        <v>0</v>
      </c>
      <c r="G49" s="1237">
        <f>RBBD!E34</f>
        <v>0</v>
      </c>
      <c r="H49" s="1237">
        <f>RBBD!F34</f>
        <v>0</v>
      </c>
      <c r="I49" s="1237">
        <f t="shared" si="2"/>
        <v>0</v>
      </c>
      <c r="J49" s="1237">
        <f t="shared" si="2"/>
        <v>0</v>
      </c>
      <c r="K49" s="1237">
        <f t="shared" si="2"/>
        <v>0</v>
      </c>
      <c r="L49" s="1237">
        <f t="shared" si="2"/>
        <v>0</v>
      </c>
      <c r="M49" s="1237">
        <f t="shared" si="3"/>
        <v>0</v>
      </c>
      <c r="N49" s="1237">
        <f>RBBD!I34</f>
        <v>0</v>
      </c>
      <c r="O49" s="1237">
        <f>RBBD!J34</f>
        <v>0</v>
      </c>
      <c r="P49" s="1237">
        <f>RBBD!K34</f>
        <v>0</v>
      </c>
      <c r="Q49" s="1237">
        <f>RBBD!L34</f>
        <v>0</v>
      </c>
      <c r="R49" s="1237">
        <f>RBBD!M34</f>
        <v>0</v>
      </c>
      <c r="S49" s="1237">
        <f>RBBD!N34</f>
        <v>0</v>
      </c>
      <c r="T49" s="1237">
        <f>RBBD!O34</f>
        <v>0</v>
      </c>
      <c r="U49" s="1237">
        <f>RBBD!P34</f>
        <v>0</v>
      </c>
      <c r="V49" s="1237">
        <f>RBBD!Q34</f>
        <v>0</v>
      </c>
      <c r="W49" s="1237">
        <f>RBBD!R34</f>
        <v>0</v>
      </c>
      <c r="X49" s="1237">
        <f>RBBD!S34</f>
        <v>0</v>
      </c>
      <c r="Y49" s="1237">
        <f>RBBD!T34</f>
        <v>0</v>
      </c>
      <c r="Z49" s="65"/>
      <c r="AA49" s="324">
        <f t="shared" si="5"/>
        <v>0</v>
      </c>
    </row>
    <row r="50" spans="2:27" hidden="1">
      <c r="B50" s="1237">
        <f>RBBD!B35</f>
        <v>0</v>
      </c>
      <c r="C50" s="1237">
        <f>RBBD!C35</f>
        <v>0</v>
      </c>
      <c r="D50" s="1237">
        <f>RBBD!D35</f>
        <v>0</v>
      </c>
      <c r="E50" s="1237">
        <f>RBBD!G35</f>
        <v>0</v>
      </c>
      <c r="F50" s="1237">
        <f>RBBD!H35</f>
        <v>0</v>
      </c>
      <c r="G50" s="1237">
        <f>RBBD!E35</f>
        <v>0</v>
      </c>
      <c r="H50" s="1237">
        <f>RBBD!F35</f>
        <v>0</v>
      </c>
      <c r="I50" s="1237">
        <f t="shared" si="2"/>
        <v>0</v>
      </c>
      <c r="J50" s="1237">
        <f t="shared" si="2"/>
        <v>0</v>
      </c>
      <c r="K50" s="1237">
        <f t="shared" si="2"/>
        <v>0</v>
      </c>
      <c r="L50" s="1237">
        <f t="shared" si="2"/>
        <v>0</v>
      </c>
      <c r="M50" s="1237">
        <f t="shared" si="3"/>
        <v>0</v>
      </c>
      <c r="N50" s="1237">
        <f>RBBD!I35</f>
        <v>0</v>
      </c>
      <c r="O50" s="1237">
        <f>RBBD!J35</f>
        <v>0</v>
      </c>
      <c r="P50" s="1237">
        <f>RBBD!K35</f>
        <v>0</v>
      </c>
      <c r="Q50" s="1237">
        <f>RBBD!L35</f>
        <v>0</v>
      </c>
      <c r="R50" s="1237">
        <f>RBBD!M35</f>
        <v>0</v>
      </c>
      <c r="S50" s="1237">
        <f>RBBD!N35</f>
        <v>0</v>
      </c>
      <c r="T50" s="1237">
        <f>RBBD!O35</f>
        <v>0</v>
      </c>
      <c r="U50" s="1237">
        <f>RBBD!P35</f>
        <v>0</v>
      </c>
      <c r="V50" s="1237">
        <f>RBBD!Q35</f>
        <v>0</v>
      </c>
      <c r="W50" s="1237">
        <f>RBBD!R35</f>
        <v>0</v>
      </c>
      <c r="X50" s="1237">
        <f>RBBD!S35</f>
        <v>0</v>
      </c>
      <c r="Y50" s="1237">
        <f>RBBD!T35</f>
        <v>0</v>
      </c>
      <c r="Z50" s="65"/>
      <c r="AA50" s="324">
        <f t="shared" si="5"/>
        <v>0</v>
      </c>
    </row>
    <row r="51" spans="2:27" hidden="1">
      <c r="B51" s="1237">
        <f>RBBD!B36</f>
        <v>0</v>
      </c>
      <c r="C51" s="1237">
        <f>RBBD!C36</f>
        <v>0</v>
      </c>
      <c r="D51" s="1237">
        <f>RBBD!D36</f>
        <v>0</v>
      </c>
      <c r="E51" s="1237">
        <f>RBBD!G36</f>
        <v>0</v>
      </c>
      <c r="F51" s="1237">
        <f>RBBD!H36</f>
        <v>0</v>
      </c>
      <c r="G51" s="1237">
        <f>RBBD!E36</f>
        <v>0</v>
      </c>
      <c r="H51" s="1237">
        <f>RBBD!F36</f>
        <v>0</v>
      </c>
      <c r="I51" s="1237">
        <f t="shared" si="2"/>
        <v>0</v>
      </c>
      <c r="J51" s="1237">
        <f t="shared" si="2"/>
        <v>0</v>
      </c>
      <c r="K51" s="1237">
        <f t="shared" si="2"/>
        <v>0</v>
      </c>
      <c r="L51" s="1237">
        <f t="shared" si="2"/>
        <v>0</v>
      </c>
      <c r="M51" s="1237">
        <f t="shared" si="3"/>
        <v>0</v>
      </c>
      <c r="N51" s="1237">
        <f>RBBD!I36</f>
        <v>0</v>
      </c>
      <c r="O51" s="1237">
        <f>RBBD!J36</f>
        <v>0</v>
      </c>
      <c r="P51" s="1237">
        <f>RBBD!K36</f>
        <v>0</v>
      </c>
      <c r="Q51" s="1237">
        <f>RBBD!L36</f>
        <v>0</v>
      </c>
      <c r="R51" s="1237">
        <f>RBBD!M36</f>
        <v>0</v>
      </c>
      <c r="S51" s="1237">
        <f>RBBD!N36</f>
        <v>0</v>
      </c>
      <c r="T51" s="1237">
        <f>RBBD!O36</f>
        <v>0</v>
      </c>
      <c r="U51" s="1237">
        <f>RBBD!P36</f>
        <v>0</v>
      </c>
      <c r="V51" s="1237">
        <f>RBBD!Q36</f>
        <v>0</v>
      </c>
      <c r="W51" s="1237">
        <f>RBBD!R36</f>
        <v>0</v>
      </c>
      <c r="X51" s="1237">
        <f>RBBD!S36</f>
        <v>0</v>
      </c>
      <c r="Y51" s="1237">
        <f>RBBD!T36</f>
        <v>0</v>
      </c>
      <c r="Z51" s="65"/>
      <c r="AA51" s="324">
        <f t="shared" si="5"/>
        <v>0</v>
      </c>
    </row>
    <row r="52" spans="2:27" hidden="1">
      <c r="B52" s="1237">
        <f>RBBD!B37</f>
        <v>0</v>
      </c>
      <c r="C52" s="1237">
        <f>RBBD!C37</f>
        <v>0</v>
      </c>
      <c r="D52" s="1237">
        <f>RBBD!D37</f>
        <v>0</v>
      </c>
      <c r="E52" s="1237">
        <f>RBBD!G37</f>
        <v>0</v>
      </c>
      <c r="F52" s="1237">
        <f>RBBD!H37</f>
        <v>0</v>
      </c>
      <c r="G52" s="1237">
        <f>RBBD!E37</f>
        <v>0</v>
      </c>
      <c r="H52" s="1237">
        <f>RBBD!F37</f>
        <v>0</v>
      </c>
      <c r="I52" s="1237">
        <f t="shared" si="2"/>
        <v>0</v>
      </c>
      <c r="J52" s="1237">
        <f t="shared" si="2"/>
        <v>0</v>
      </c>
      <c r="K52" s="1237">
        <f t="shared" si="2"/>
        <v>0</v>
      </c>
      <c r="L52" s="1237">
        <f t="shared" si="2"/>
        <v>0</v>
      </c>
      <c r="M52" s="1237">
        <f t="shared" si="3"/>
        <v>0</v>
      </c>
      <c r="N52" s="1237">
        <f>RBBD!I37</f>
        <v>0</v>
      </c>
      <c r="O52" s="1237">
        <f>RBBD!J37</f>
        <v>0</v>
      </c>
      <c r="P52" s="1237">
        <f>RBBD!K37</f>
        <v>0</v>
      </c>
      <c r="Q52" s="1237">
        <f>RBBD!L37</f>
        <v>0</v>
      </c>
      <c r="R52" s="1237">
        <f>RBBD!M37</f>
        <v>0</v>
      </c>
      <c r="S52" s="1237">
        <f>RBBD!N37</f>
        <v>0</v>
      </c>
      <c r="T52" s="1237">
        <f>RBBD!O37</f>
        <v>0</v>
      </c>
      <c r="U52" s="1237">
        <f>RBBD!P37</f>
        <v>0</v>
      </c>
      <c r="V52" s="1237">
        <f>RBBD!Q37</f>
        <v>0</v>
      </c>
      <c r="W52" s="1237">
        <f>RBBD!R37</f>
        <v>0</v>
      </c>
      <c r="X52" s="1237">
        <f>RBBD!S37</f>
        <v>0</v>
      </c>
      <c r="Y52" s="1237">
        <f>RBBD!T37</f>
        <v>0</v>
      </c>
      <c r="Z52" s="65"/>
      <c r="AA52" s="324">
        <f t="shared" si="5"/>
        <v>0</v>
      </c>
    </row>
    <row r="53" spans="2:27" hidden="1">
      <c r="B53" s="1237">
        <f>RBBD!B38</f>
        <v>0</v>
      </c>
      <c r="C53" s="1237">
        <f>RBBD!C38</f>
        <v>0</v>
      </c>
      <c r="D53" s="1237">
        <f>RBBD!D38</f>
        <v>0</v>
      </c>
      <c r="E53" s="1237">
        <f>RBBD!G38</f>
        <v>0</v>
      </c>
      <c r="F53" s="1237">
        <f>RBBD!H38</f>
        <v>0</v>
      </c>
      <c r="G53" s="1237">
        <f>RBBD!E38</f>
        <v>0</v>
      </c>
      <c r="H53" s="1237">
        <f>RBBD!F38</f>
        <v>0</v>
      </c>
      <c r="I53" s="1237">
        <f t="shared" si="2"/>
        <v>0</v>
      </c>
      <c r="J53" s="1237">
        <f t="shared" si="2"/>
        <v>0</v>
      </c>
      <c r="K53" s="1237">
        <f t="shared" si="2"/>
        <v>0</v>
      </c>
      <c r="L53" s="1237">
        <f t="shared" si="2"/>
        <v>0</v>
      </c>
      <c r="M53" s="1237">
        <f t="shared" si="3"/>
        <v>0</v>
      </c>
      <c r="N53" s="1237">
        <f>RBBD!I38</f>
        <v>0</v>
      </c>
      <c r="O53" s="1237">
        <f>RBBD!J38</f>
        <v>0</v>
      </c>
      <c r="P53" s="1237">
        <f>RBBD!K38</f>
        <v>0</v>
      </c>
      <c r="Q53" s="1237">
        <f>RBBD!L38</f>
        <v>0</v>
      </c>
      <c r="R53" s="1237">
        <f>RBBD!M38</f>
        <v>0</v>
      </c>
      <c r="S53" s="1237">
        <f>RBBD!N38</f>
        <v>0</v>
      </c>
      <c r="T53" s="1237">
        <f>RBBD!O38</f>
        <v>0</v>
      </c>
      <c r="U53" s="1237">
        <f>RBBD!P38</f>
        <v>0</v>
      </c>
      <c r="V53" s="1237">
        <f>RBBD!Q38</f>
        <v>0</v>
      </c>
      <c r="W53" s="1237">
        <f>RBBD!R38</f>
        <v>0</v>
      </c>
      <c r="X53" s="1237">
        <f>RBBD!S38</f>
        <v>0</v>
      </c>
      <c r="Y53" s="1237">
        <f>RBBD!T38</f>
        <v>0</v>
      </c>
      <c r="Z53" s="65"/>
      <c r="AA53" s="324">
        <f t="shared" si="5"/>
        <v>0</v>
      </c>
    </row>
    <row r="54" spans="2:27" hidden="1">
      <c r="B54" s="1237">
        <f>RBBD!B39</f>
        <v>0</v>
      </c>
      <c r="C54" s="1237">
        <f>RBBD!C39</f>
        <v>0</v>
      </c>
      <c r="D54" s="1237">
        <f>RBBD!D39</f>
        <v>0</v>
      </c>
      <c r="E54" s="1237">
        <f>RBBD!G39</f>
        <v>0</v>
      </c>
      <c r="F54" s="1237">
        <f>RBBD!H39</f>
        <v>0</v>
      </c>
      <c r="G54" s="1237">
        <f>RBBD!E39</f>
        <v>0</v>
      </c>
      <c r="H54" s="1237">
        <f>RBBD!F39</f>
        <v>0</v>
      </c>
      <c r="I54" s="1237">
        <f t="shared" si="2"/>
        <v>0</v>
      </c>
      <c r="J54" s="1237">
        <f t="shared" si="2"/>
        <v>0</v>
      </c>
      <c r="K54" s="1237">
        <f t="shared" si="2"/>
        <v>0</v>
      </c>
      <c r="L54" s="1237">
        <f t="shared" si="2"/>
        <v>0</v>
      </c>
      <c r="M54" s="1237">
        <f t="shared" si="3"/>
        <v>0</v>
      </c>
      <c r="N54" s="1237">
        <f>RBBD!I39</f>
        <v>0</v>
      </c>
      <c r="O54" s="1237">
        <f>RBBD!J39</f>
        <v>0</v>
      </c>
      <c r="P54" s="1237">
        <f>RBBD!K39</f>
        <v>0</v>
      </c>
      <c r="Q54" s="1237">
        <f>RBBD!L39</f>
        <v>0</v>
      </c>
      <c r="R54" s="1237">
        <f>RBBD!M39</f>
        <v>0</v>
      </c>
      <c r="S54" s="1237">
        <f>RBBD!N39</f>
        <v>0</v>
      </c>
      <c r="T54" s="1237">
        <f>RBBD!O39</f>
        <v>0</v>
      </c>
      <c r="U54" s="1237">
        <f>RBBD!P39</f>
        <v>0</v>
      </c>
      <c r="V54" s="1237">
        <f>RBBD!Q39</f>
        <v>0</v>
      </c>
      <c r="W54" s="1237">
        <f>RBBD!R39</f>
        <v>0</v>
      </c>
      <c r="X54" s="1237">
        <f>RBBD!S39</f>
        <v>0</v>
      </c>
      <c r="Y54" s="1237">
        <f>RBBD!T39</f>
        <v>0</v>
      </c>
      <c r="Z54" s="65"/>
      <c r="AA54" s="324">
        <f t="shared" si="5"/>
        <v>0</v>
      </c>
    </row>
    <row r="55" spans="2:27" hidden="1">
      <c r="B55" s="1237">
        <f>RBBD!B40</f>
        <v>0</v>
      </c>
      <c r="C55" s="1237">
        <f>RBBD!C40</f>
        <v>0</v>
      </c>
      <c r="D55" s="1237">
        <f>RBBD!D40</f>
        <v>0</v>
      </c>
      <c r="E55" s="1237">
        <f>RBBD!G40</f>
        <v>0</v>
      </c>
      <c r="F55" s="1237">
        <f>RBBD!H40</f>
        <v>0</v>
      </c>
      <c r="G55" s="1237">
        <f>RBBD!E40</f>
        <v>0</v>
      </c>
      <c r="H55" s="1237">
        <f>RBBD!F40</f>
        <v>0</v>
      </c>
      <c r="I55" s="1237">
        <f t="shared" si="2"/>
        <v>0</v>
      </c>
      <c r="J55" s="1237">
        <f t="shared" si="2"/>
        <v>0</v>
      </c>
      <c r="K55" s="1237">
        <f t="shared" si="2"/>
        <v>0</v>
      </c>
      <c r="L55" s="1237">
        <f t="shared" si="2"/>
        <v>0</v>
      </c>
      <c r="M55" s="1237">
        <f t="shared" si="3"/>
        <v>0</v>
      </c>
      <c r="N55" s="1237">
        <f>RBBD!I40</f>
        <v>0</v>
      </c>
      <c r="O55" s="1237">
        <f>RBBD!J40</f>
        <v>0</v>
      </c>
      <c r="P55" s="1237">
        <f>RBBD!K40</f>
        <v>0</v>
      </c>
      <c r="Q55" s="1237">
        <f>RBBD!L40</f>
        <v>0</v>
      </c>
      <c r="R55" s="1237">
        <f>RBBD!M40</f>
        <v>0</v>
      </c>
      <c r="S55" s="1237">
        <f>RBBD!N40</f>
        <v>0</v>
      </c>
      <c r="T55" s="1237">
        <f>RBBD!O40</f>
        <v>0</v>
      </c>
      <c r="U55" s="1237">
        <f>RBBD!P40</f>
        <v>0</v>
      </c>
      <c r="V55" s="1237">
        <f>RBBD!Q40</f>
        <v>0</v>
      </c>
      <c r="W55" s="1237">
        <f>RBBD!R40</f>
        <v>0</v>
      </c>
      <c r="X55" s="1237">
        <f>RBBD!S40</f>
        <v>0</v>
      </c>
      <c r="Y55" s="1237">
        <f>RBBD!T40</f>
        <v>0</v>
      </c>
      <c r="Z55" s="65"/>
      <c r="AA55" s="324">
        <f t="shared" si="5"/>
        <v>0</v>
      </c>
    </row>
    <row r="56" spans="2:27" hidden="1">
      <c r="B56" s="1237">
        <f>RBBD!B41</f>
        <v>0</v>
      </c>
      <c r="C56" s="1237">
        <f>RBBD!C41</f>
        <v>0</v>
      </c>
      <c r="D56" s="1237">
        <f>RBBD!D41</f>
        <v>0</v>
      </c>
      <c r="E56" s="1237">
        <f>RBBD!G41</f>
        <v>0</v>
      </c>
      <c r="F56" s="1237">
        <f>RBBD!H41</f>
        <v>0</v>
      </c>
      <c r="G56" s="1237">
        <f>RBBD!E41</f>
        <v>0</v>
      </c>
      <c r="H56" s="1237">
        <f>RBBD!F41</f>
        <v>0</v>
      </c>
      <c r="I56" s="1237">
        <f t="shared" si="2"/>
        <v>0</v>
      </c>
      <c r="J56" s="1237">
        <f t="shared" si="2"/>
        <v>0</v>
      </c>
      <c r="K56" s="1237">
        <f t="shared" si="2"/>
        <v>0</v>
      </c>
      <c r="L56" s="1237">
        <f t="shared" si="2"/>
        <v>0</v>
      </c>
      <c r="M56" s="1237">
        <f t="shared" si="3"/>
        <v>0</v>
      </c>
      <c r="N56" s="1237">
        <f>RBBD!I41</f>
        <v>0</v>
      </c>
      <c r="O56" s="1237">
        <f>RBBD!J41</f>
        <v>0</v>
      </c>
      <c r="P56" s="1237">
        <f>RBBD!K41</f>
        <v>0</v>
      </c>
      <c r="Q56" s="1237">
        <f>RBBD!L41</f>
        <v>0</v>
      </c>
      <c r="R56" s="1237">
        <f>RBBD!M41</f>
        <v>0</v>
      </c>
      <c r="S56" s="1237">
        <f>RBBD!N41</f>
        <v>0</v>
      </c>
      <c r="T56" s="1237">
        <f>RBBD!O41</f>
        <v>0</v>
      </c>
      <c r="U56" s="1237">
        <f>RBBD!P41</f>
        <v>0</v>
      </c>
      <c r="V56" s="1237">
        <f>RBBD!Q41</f>
        <v>0</v>
      </c>
      <c r="W56" s="1237">
        <f>RBBD!R41</f>
        <v>0</v>
      </c>
      <c r="X56" s="1237">
        <f>RBBD!S41</f>
        <v>0</v>
      </c>
      <c r="Y56" s="1237">
        <f>RBBD!T41</f>
        <v>0</v>
      </c>
      <c r="Z56" s="65"/>
      <c r="AA56" s="324">
        <f t="shared" si="5"/>
        <v>0</v>
      </c>
    </row>
    <row r="57" spans="2:27" hidden="1">
      <c r="B57" s="1237">
        <f>RBBD!B42</f>
        <v>0</v>
      </c>
      <c r="C57" s="1237">
        <f>RBBD!C42</f>
        <v>0</v>
      </c>
      <c r="D57" s="1237">
        <f>RBBD!D42</f>
        <v>0</v>
      </c>
      <c r="E57" s="1237">
        <f>RBBD!G42</f>
        <v>0</v>
      </c>
      <c r="F57" s="1237">
        <f>RBBD!H42</f>
        <v>0</v>
      </c>
      <c r="G57" s="1237">
        <f>RBBD!E42</f>
        <v>0</v>
      </c>
      <c r="H57" s="1237">
        <f>RBBD!F42</f>
        <v>0</v>
      </c>
      <c r="I57" s="1237">
        <f t="shared" si="2"/>
        <v>0</v>
      </c>
      <c r="J57" s="1237">
        <f t="shared" si="2"/>
        <v>0</v>
      </c>
      <c r="K57" s="1237">
        <f t="shared" si="2"/>
        <v>0</v>
      </c>
      <c r="L57" s="1237">
        <f t="shared" si="2"/>
        <v>0</v>
      </c>
      <c r="M57" s="1237">
        <f t="shared" si="3"/>
        <v>0</v>
      </c>
      <c r="N57" s="1237">
        <f>RBBD!I42</f>
        <v>0</v>
      </c>
      <c r="O57" s="1237">
        <f>RBBD!J42</f>
        <v>0</v>
      </c>
      <c r="P57" s="1237">
        <f>RBBD!K42</f>
        <v>0</v>
      </c>
      <c r="Q57" s="1237">
        <f>RBBD!L42</f>
        <v>0</v>
      </c>
      <c r="R57" s="1237">
        <f>RBBD!M42</f>
        <v>0</v>
      </c>
      <c r="S57" s="1237">
        <f>RBBD!N42</f>
        <v>0</v>
      </c>
      <c r="T57" s="1237">
        <f>RBBD!O42</f>
        <v>0</v>
      </c>
      <c r="U57" s="1237">
        <f>RBBD!P42</f>
        <v>0</v>
      </c>
      <c r="V57" s="1237">
        <f>RBBD!Q42</f>
        <v>0</v>
      </c>
      <c r="W57" s="1237">
        <f>RBBD!R42</f>
        <v>0</v>
      </c>
      <c r="X57" s="1237">
        <f>RBBD!S42</f>
        <v>0</v>
      </c>
      <c r="Y57" s="1237">
        <f>RBBD!T42</f>
        <v>0</v>
      </c>
      <c r="Z57" s="65"/>
      <c r="AA57" s="324">
        <f t="shared" si="5"/>
        <v>0</v>
      </c>
    </row>
    <row r="58" spans="2:27" hidden="1">
      <c r="B58" s="1237">
        <f>RBBD!B43</f>
        <v>0</v>
      </c>
      <c r="C58" s="1237">
        <f>RBBD!C43</f>
        <v>0</v>
      </c>
      <c r="D58" s="1237">
        <f>RBBD!D43</f>
        <v>0</v>
      </c>
      <c r="E58" s="1237">
        <f>RBBD!G43</f>
        <v>0</v>
      </c>
      <c r="F58" s="1237">
        <f>RBBD!H43</f>
        <v>0</v>
      </c>
      <c r="G58" s="1237">
        <f>RBBD!E43</f>
        <v>0</v>
      </c>
      <c r="H58" s="1237">
        <f>RBBD!F43</f>
        <v>0</v>
      </c>
      <c r="I58" s="1237">
        <f t="shared" si="2"/>
        <v>0</v>
      </c>
      <c r="J58" s="1237">
        <f t="shared" si="2"/>
        <v>0</v>
      </c>
      <c r="K58" s="1237">
        <f t="shared" si="2"/>
        <v>0</v>
      </c>
      <c r="L58" s="1237">
        <f t="shared" si="2"/>
        <v>0</v>
      </c>
      <c r="M58" s="1237">
        <f t="shared" si="3"/>
        <v>0</v>
      </c>
      <c r="N58" s="1237">
        <f>RBBD!I43</f>
        <v>0</v>
      </c>
      <c r="O58" s="1237">
        <f>RBBD!J43</f>
        <v>0</v>
      </c>
      <c r="P58" s="1237">
        <f>RBBD!K43</f>
        <v>0</v>
      </c>
      <c r="Q58" s="1237">
        <f>RBBD!L43</f>
        <v>0</v>
      </c>
      <c r="R58" s="1237">
        <f>RBBD!M43</f>
        <v>0</v>
      </c>
      <c r="S58" s="1237">
        <f>RBBD!N43</f>
        <v>0</v>
      </c>
      <c r="T58" s="1237">
        <f>RBBD!O43</f>
        <v>0</v>
      </c>
      <c r="U58" s="1237">
        <f>RBBD!P43</f>
        <v>0</v>
      </c>
      <c r="V58" s="1237">
        <f>RBBD!Q43</f>
        <v>0</v>
      </c>
      <c r="W58" s="1237">
        <f>RBBD!R43</f>
        <v>0</v>
      </c>
      <c r="X58" s="1237">
        <f>RBBD!S43</f>
        <v>0</v>
      </c>
      <c r="Y58" s="1237">
        <f>RBBD!T43</f>
        <v>0</v>
      </c>
      <c r="Z58" s="65"/>
      <c r="AA58" s="324">
        <f t="shared" si="5"/>
        <v>0</v>
      </c>
    </row>
    <row r="59" spans="2:27" hidden="1">
      <c r="B59" s="1237">
        <f>RBBD!B44</f>
        <v>0</v>
      </c>
      <c r="C59" s="1237">
        <f>RBBD!C44</f>
        <v>0</v>
      </c>
      <c r="D59" s="1237">
        <f>RBBD!D44</f>
        <v>0</v>
      </c>
      <c r="E59" s="1237">
        <f>RBBD!G44</f>
        <v>0</v>
      </c>
      <c r="F59" s="1237">
        <f>RBBD!H44</f>
        <v>0</v>
      </c>
      <c r="G59" s="1237">
        <f>RBBD!E44</f>
        <v>0</v>
      </c>
      <c r="H59" s="1237">
        <f>RBBD!F44</f>
        <v>0</v>
      </c>
      <c r="I59" s="1237">
        <f t="shared" si="2"/>
        <v>0</v>
      </c>
      <c r="J59" s="1237">
        <f t="shared" si="2"/>
        <v>0</v>
      </c>
      <c r="K59" s="1237">
        <f t="shared" si="2"/>
        <v>0</v>
      </c>
      <c r="L59" s="1237">
        <f t="shared" si="2"/>
        <v>0</v>
      </c>
      <c r="M59" s="1237">
        <f t="shared" si="3"/>
        <v>0</v>
      </c>
      <c r="N59" s="1237">
        <f>RBBD!I44</f>
        <v>0</v>
      </c>
      <c r="O59" s="1237">
        <f>RBBD!J44</f>
        <v>0</v>
      </c>
      <c r="P59" s="1237">
        <f>RBBD!K44</f>
        <v>0</v>
      </c>
      <c r="Q59" s="1237">
        <f>RBBD!L44</f>
        <v>0</v>
      </c>
      <c r="R59" s="1237">
        <f>RBBD!M44</f>
        <v>0</v>
      </c>
      <c r="S59" s="1237">
        <f>RBBD!N44</f>
        <v>0</v>
      </c>
      <c r="T59" s="1237">
        <f>RBBD!O44</f>
        <v>0</v>
      </c>
      <c r="U59" s="1237">
        <f>RBBD!P44</f>
        <v>0</v>
      </c>
      <c r="V59" s="1237">
        <f>RBBD!Q44</f>
        <v>0</v>
      </c>
      <c r="W59" s="1237">
        <f>RBBD!R44</f>
        <v>0</v>
      </c>
      <c r="X59" s="1237">
        <f>RBBD!S44</f>
        <v>0</v>
      </c>
      <c r="Y59" s="1237">
        <f>RBBD!T44</f>
        <v>0</v>
      </c>
      <c r="Z59" s="65"/>
      <c r="AA59" s="324">
        <f t="shared" si="5"/>
        <v>0</v>
      </c>
    </row>
    <row r="60" spans="2:27" hidden="1">
      <c r="B60" s="1237">
        <f>RBBD!B45</f>
        <v>0</v>
      </c>
      <c r="C60" s="1237">
        <f>RBBD!C45</f>
        <v>0</v>
      </c>
      <c r="D60" s="1237">
        <f>RBBD!D45</f>
        <v>0</v>
      </c>
      <c r="E60" s="1237">
        <f>RBBD!G45</f>
        <v>0</v>
      </c>
      <c r="F60" s="1237">
        <f>RBBD!H45</f>
        <v>0</v>
      </c>
      <c r="G60" s="1237">
        <f>RBBD!E45</f>
        <v>0</v>
      </c>
      <c r="H60" s="1237">
        <f>RBBD!F45</f>
        <v>0</v>
      </c>
      <c r="I60" s="1237">
        <f t="shared" si="2"/>
        <v>0</v>
      </c>
      <c r="J60" s="1237">
        <f t="shared" si="2"/>
        <v>0</v>
      </c>
      <c r="K60" s="1237">
        <f t="shared" si="2"/>
        <v>0</v>
      </c>
      <c r="L60" s="1237">
        <f t="shared" si="2"/>
        <v>0</v>
      </c>
      <c r="M60" s="1237">
        <f t="shared" si="3"/>
        <v>0</v>
      </c>
      <c r="N60" s="1237">
        <f>RBBD!I45</f>
        <v>0</v>
      </c>
      <c r="O60" s="1237">
        <f>RBBD!J45</f>
        <v>0</v>
      </c>
      <c r="P60" s="1237">
        <f>RBBD!K45</f>
        <v>0</v>
      </c>
      <c r="Q60" s="1237">
        <f>RBBD!L45</f>
        <v>0</v>
      </c>
      <c r="R60" s="1237">
        <f>RBBD!M45</f>
        <v>0</v>
      </c>
      <c r="S60" s="1237">
        <f>RBBD!N45</f>
        <v>0</v>
      </c>
      <c r="T60" s="1237">
        <f>RBBD!O45</f>
        <v>0</v>
      </c>
      <c r="U60" s="1237">
        <f>RBBD!P45</f>
        <v>0</v>
      </c>
      <c r="V60" s="1237">
        <f>RBBD!Q45</f>
        <v>0</v>
      </c>
      <c r="W60" s="1237">
        <f>RBBD!R45</f>
        <v>0</v>
      </c>
      <c r="X60" s="1237">
        <f>RBBD!S45</f>
        <v>0</v>
      </c>
      <c r="Y60" s="1237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8" t="s">
        <v>1163</v>
      </c>
      <c r="D62" s="1239"/>
      <c r="E62" s="1239" t="e">
        <f>SUM(I18:I61)/SUM(M18:M61)</f>
        <v>#DIV/0!</v>
      </c>
      <c r="F62" s="1239" t="e">
        <f>SUM(J18:J61)/SUM(M18:M61)</f>
        <v>#DIV/0!</v>
      </c>
      <c r="G62" s="1239" t="e">
        <f>SUM(K18:K61)/SUM(M18:M61)</f>
        <v>#DIV/0!</v>
      </c>
      <c r="H62" s="1239" t="e">
        <f>SUM(L18:L61)/SUM(M18:M61)</f>
        <v>#DIV/0!</v>
      </c>
      <c r="I62" s="1240">
        <f>SUM(I16:I61)</f>
        <v>0</v>
      </c>
      <c r="J62" s="1240">
        <f>SUM(J16:J61)</f>
        <v>0</v>
      </c>
      <c r="K62" s="1240">
        <f>SUM(K16:K61)</f>
        <v>0</v>
      </c>
      <c r="L62" s="1240">
        <f>SUM(L16:L61)</f>
        <v>0</v>
      </c>
      <c r="M62" s="1240">
        <f>SUM(M17:M61)</f>
        <v>0</v>
      </c>
      <c r="N62" s="1240">
        <f>SUM(N18:N61)</f>
        <v>0</v>
      </c>
      <c r="O62" s="1240">
        <f t="shared" ref="O62:Y62" si="6">SUM(O18:O61)</f>
        <v>0</v>
      </c>
      <c r="P62" s="1240">
        <f t="shared" si="6"/>
        <v>0</v>
      </c>
      <c r="Q62" s="1240">
        <f t="shared" si="6"/>
        <v>0</v>
      </c>
      <c r="R62" s="1240">
        <f t="shared" si="6"/>
        <v>0</v>
      </c>
      <c r="S62" s="1240">
        <f t="shared" si="6"/>
        <v>0</v>
      </c>
      <c r="T62" s="1240">
        <f t="shared" si="6"/>
        <v>0</v>
      </c>
      <c r="U62" s="1240">
        <f t="shared" si="6"/>
        <v>0</v>
      </c>
      <c r="V62" s="1240">
        <f t="shared" si="6"/>
        <v>0</v>
      </c>
      <c r="W62" s="1240">
        <f t="shared" si="6"/>
        <v>0</v>
      </c>
      <c r="X62" s="1240">
        <f t="shared" si="6"/>
        <v>0</v>
      </c>
      <c r="Y62" s="1240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0" t="s">
        <v>1164</v>
      </c>
      <c r="C67" s="1230"/>
      <c r="D67" s="1230"/>
      <c r="E67" s="1230"/>
      <c r="F67" s="1230"/>
      <c r="G67" s="1230"/>
      <c r="H67" s="1230"/>
      <c r="I67" s="1230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1">
        <f>IF(MONTH(E70)=7,E70,0)</f>
        <v>0</v>
      </c>
      <c r="F69" s="1241">
        <f t="shared" ref="F69:P69" si="7">IF(MONTH(F70)=7,F70,0)</f>
        <v>0</v>
      </c>
      <c r="G69" s="1241">
        <f t="shared" si="7"/>
        <v>0</v>
      </c>
      <c r="H69" s="1241">
        <f t="shared" si="7"/>
        <v>0</v>
      </c>
      <c r="I69" s="1241">
        <f t="shared" si="7"/>
        <v>0</v>
      </c>
      <c r="J69" s="1241">
        <f t="shared" si="7"/>
        <v>0</v>
      </c>
      <c r="K69" s="1241">
        <f t="shared" si="7"/>
        <v>0</v>
      </c>
      <c r="L69" s="1241">
        <f t="shared" si="7"/>
        <v>0</v>
      </c>
      <c r="M69" s="1241">
        <f t="shared" si="7"/>
        <v>0</v>
      </c>
      <c r="N69" s="1241">
        <f t="shared" si="7"/>
        <v>0</v>
      </c>
      <c r="O69" s="1241">
        <f t="shared" si="7"/>
        <v>44743</v>
      </c>
      <c r="P69" s="1241">
        <f t="shared" si="7"/>
        <v>0</v>
      </c>
      <c r="Q69" s="772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1165</v>
      </c>
      <c r="E70" s="1242">
        <f>G76</f>
        <v>44440</v>
      </c>
      <c r="F70" s="1242">
        <f>G77</f>
        <v>44470</v>
      </c>
      <c r="G70" s="1242">
        <f>G78</f>
        <v>44501</v>
      </c>
      <c r="H70" s="1242">
        <f>G79</f>
        <v>44531</v>
      </c>
      <c r="I70" s="1242">
        <f>G80</f>
        <v>44562</v>
      </c>
      <c r="J70" s="1242">
        <f>G81</f>
        <v>44593</v>
      </c>
      <c r="K70" s="1242">
        <f>G82</f>
        <v>44621</v>
      </c>
      <c r="L70" s="1242">
        <f>G83</f>
        <v>44652</v>
      </c>
      <c r="M70" s="1242">
        <f>G84</f>
        <v>44682</v>
      </c>
      <c r="N70" s="1242">
        <f>G85</f>
        <v>44713</v>
      </c>
      <c r="O70" s="1242">
        <f>G86</f>
        <v>44743</v>
      </c>
      <c r="P70" s="1242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3" t="s">
        <v>1166</v>
      </c>
      <c r="D71" s="1244">
        <f>SUM(E71:P71)</f>
        <v>0</v>
      </c>
      <c r="E71" s="1245">
        <f>SUMIF($G$76:$G$420,E70,$N$76:$N$420)</f>
        <v>0</v>
      </c>
      <c r="F71" s="1245">
        <f t="shared" ref="F71:P71" si="8">SUMIF($G$76:$G$420,F70,$N$76:$N$420)</f>
        <v>0</v>
      </c>
      <c r="G71" s="1245">
        <f t="shared" si="8"/>
        <v>0</v>
      </c>
      <c r="H71" s="1245">
        <f t="shared" si="8"/>
        <v>0</v>
      </c>
      <c r="I71" s="1245">
        <f t="shared" si="8"/>
        <v>0</v>
      </c>
      <c r="J71" s="1245">
        <f t="shared" si="8"/>
        <v>0</v>
      </c>
      <c r="K71" s="1245">
        <f t="shared" si="8"/>
        <v>0</v>
      </c>
      <c r="L71" s="1245">
        <f t="shared" si="8"/>
        <v>0</v>
      </c>
      <c r="M71" s="1245">
        <f t="shared" si="8"/>
        <v>0</v>
      </c>
      <c r="N71" s="1245">
        <f t="shared" si="8"/>
        <v>0</v>
      </c>
      <c r="O71" s="1245">
        <f t="shared" si="8"/>
        <v>0</v>
      </c>
      <c r="P71" s="1245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3" t="s">
        <v>1167</v>
      </c>
      <c r="D72" s="1244">
        <f>SUM(E72:P72)</f>
        <v>0</v>
      </c>
      <c r="E72" s="1245">
        <f>SUMIF(Indexador!$B$25:$B$48,'Rede Básica + Ajuste'!E70,Indexador!$J$25:$J$48)</f>
        <v>0</v>
      </c>
      <c r="F72" s="1245">
        <f>SUMIF(Indexador!$B$25:$B$48,'Rede Básica + Ajuste'!F70,Indexador!$J$25:$J$48)</f>
        <v>0</v>
      </c>
      <c r="G72" s="1245">
        <f>SUMIF(Indexador!$B$25:$B$48,'Rede Básica + Ajuste'!G70,Indexador!$J$25:$J$48)</f>
        <v>0</v>
      </c>
      <c r="H72" s="1245">
        <f>SUMIF(Indexador!$B$25:$B$48,'Rede Básica + Ajuste'!H70,Indexador!$J$25:$J$48)</f>
        <v>0</v>
      </c>
      <c r="I72" s="1245">
        <f>SUMIF(Indexador!$B$25:$B$48,'Rede Básica + Ajuste'!I70,Indexador!$J$25:$J$48)</f>
        <v>0</v>
      </c>
      <c r="J72" s="1245">
        <f>SUMIF(Indexador!$B$25:$B$48,'Rede Básica + Ajuste'!J70,Indexador!$J$25:$J$48)</f>
        <v>0</v>
      </c>
      <c r="K72" s="1245">
        <f>SUMIF(Indexador!$B$25:$B$48,'Rede Básica + Ajuste'!K70,Indexador!$J$25:$J$48)</f>
        <v>0</v>
      </c>
      <c r="L72" s="1245">
        <f>SUMIF(Indexador!$B$25:$B$48,'Rede Básica + Ajuste'!L70,Indexador!$J$25:$J$48)</f>
        <v>0</v>
      </c>
      <c r="M72" s="1245">
        <f>SUMIF(Indexador!$B$25:$B$48,'Rede Básica + Ajuste'!M70,Indexador!$J$25:$J$48)</f>
        <v>0</v>
      </c>
      <c r="N72" s="1245">
        <f>SUMIF(Indexador!$B$25:$B$48,'Rede Básica + Ajuste'!N70,Indexador!$J$25:$J$48)</f>
        <v>0</v>
      </c>
      <c r="O72" s="1245">
        <f>SUMIF(Indexador!$B$25:$B$48,'Rede Básica + Ajuste'!O70,Indexador!$J$25:$J$48)</f>
        <v>0</v>
      </c>
      <c r="P72" s="1245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5" t="s">
        <v>1168</v>
      </c>
      <c r="K74" s="1826"/>
      <c r="L74" s="1827" t="s">
        <v>1169</v>
      </c>
      <c r="M74" s="1827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8" t="s">
        <v>1151</v>
      </c>
      <c r="D75" s="1829"/>
      <c r="F75" s="270"/>
      <c r="G75" s="1246" t="s">
        <v>646</v>
      </c>
      <c r="H75" s="1247" t="s">
        <v>1170</v>
      </c>
      <c r="I75" s="1247" t="s">
        <v>1171</v>
      </c>
      <c r="J75" s="1248" t="s">
        <v>1172</v>
      </c>
      <c r="K75" s="1248" t="s">
        <v>1173</v>
      </c>
      <c r="L75" s="1248" t="s">
        <v>1172</v>
      </c>
      <c r="M75" s="1248" t="s">
        <v>1173</v>
      </c>
      <c r="N75" s="277" t="s">
        <v>1174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3" t="s">
        <v>1175</v>
      </c>
      <c r="D76" s="1249">
        <f>IF(D18="Ponta",B18,0)</f>
        <v>0</v>
      </c>
      <c r="E76" s="18"/>
      <c r="F76" s="270"/>
      <c r="G76" s="1250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1">
        <f>IF(MONTH(DataRevRea)=7,'Rede Básica + Ajuste'!J76,IF(G76&lt;$Q$69,(SUMIFS($E$18:$E$60,$B$18:$B$60,$D$76,$D$18:$D$60,"Ponta")),(SUMIFS($F$18:$F$60,$B$18:$B$60,$D$76,$D$18:$D$60,"Ponta"))))</f>
        <v>0</v>
      </c>
      <c r="M76" s="1251">
        <f>IF(MONTH(DataRevRea)=7,'Rede Básica + Ajuste'!K76,IF(G76&lt;$Q$69,(SUMIFS($E$18:$E$60,$B$18:$B$60,$D$76,$D$18:$D$60,"Fora Ponta")),(SUMIFS($F$18:$F$60,$B$18:$B$60,$D$76,$D$18:$D$60,"Fora Ponta"))))</f>
        <v>0</v>
      </c>
      <c r="N76" s="1252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3" t="s">
        <v>1176</v>
      </c>
      <c r="E78" s="1254" t="s">
        <v>1177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5" t="str">
        <f>"Cobertura "&amp;YEAR(CAPA!C14)</f>
        <v>Cobertura 2021</v>
      </c>
      <c r="D79" s="1256">
        <f>SUMPRODUCT(H76:H87,J76:J87)</f>
        <v>0</v>
      </c>
      <c r="E79" s="1256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5" t="s">
        <v>1178</v>
      </c>
      <c r="D80" s="1256">
        <f>SUMPRODUCT(H76:H87,L76:L87)</f>
        <v>0</v>
      </c>
      <c r="E80" s="1256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7">
        <f t="shared" si="12"/>
        <v>44774</v>
      </c>
      <c r="H87" s="1258">
        <f>SUMIFS($Y$18:$Y$60,$B$18:$B$60,$D$76,$D$18:$D$60,"Ponta")</f>
        <v>0</v>
      </c>
      <c r="I87" s="1258">
        <f>SUMIFS($Y$18:$Y$60,$B$18:$B$60,$D$76,$D$18:$D$60,"Fora Ponta")</f>
        <v>0</v>
      </c>
      <c r="J87" s="1258">
        <f t="shared" si="9"/>
        <v>0</v>
      </c>
      <c r="K87" s="1258">
        <f t="shared" si="10"/>
        <v>0</v>
      </c>
      <c r="L87" s="1258">
        <f>IF(MONTH(DataRevRea)=7,'Rede Básica + Ajuste'!J87,IF(G87&lt;$Q$69,(SUMIFS($E$18:$E$60,$B$18:$B$60,$D$76,$D$18:$D$60,"Ponta")),(SUMIFS($F$18:$F$60,$B$18:$B$60,$D$76,$D$18:$D$60,"Ponta"))))</f>
        <v>0</v>
      </c>
      <c r="M87" s="1258">
        <f>IF(MONTH(DataRevRea)=7,'Rede Básica + Ajuste'!K87,IF(G87&lt;$Q$69,(SUMIFS($E$18:$E$60,$B$18:$B$60,$D$76,$D$18:$D$60,"Fora Ponta")),(SUMIFS($F$18:$F$60,$B$18:$B$60,$D$76,$D$18:$D$60,"Fora Ponta"))))</f>
        <v>0</v>
      </c>
      <c r="N87" s="1259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5" t="s">
        <v>1168</v>
      </c>
      <c r="K89" s="1826"/>
      <c r="L89" s="1827" t="s">
        <v>1169</v>
      </c>
      <c r="M89" s="1827"/>
      <c r="N89" s="278"/>
    </row>
    <row r="90" spans="2:50" ht="15.75">
      <c r="C90" s="1828" t="s">
        <v>1179</v>
      </c>
      <c r="D90" s="1829"/>
      <c r="F90" s="270"/>
      <c r="G90" s="1246" t="s">
        <v>646</v>
      </c>
      <c r="H90" s="1247" t="s">
        <v>1170</v>
      </c>
      <c r="I90" s="1247" t="s">
        <v>1171</v>
      </c>
      <c r="J90" s="1248" t="s">
        <v>1172</v>
      </c>
      <c r="K90" s="1248" t="s">
        <v>1173</v>
      </c>
      <c r="L90" s="1248" t="s">
        <v>1172</v>
      </c>
      <c r="M90" s="1248" t="s">
        <v>1173</v>
      </c>
      <c r="N90" s="277" t="s">
        <v>1174</v>
      </c>
    </row>
    <row r="91" spans="2:50" ht="15.75">
      <c r="C91" s="1243" t="s">
        <v>1175</v>
      </c>
      <c r="D91" s="1249">
        <f>IF(D18="Ponta",B18,0)</f>
        <v>0</v>
      </c>
      <c r="E91" s="18"/>
      <c r="F91" s="270"/>
      <c r="G91" s="1250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1">
        <f>IF(MONTH(DataRevRea)=7,'Rede Básica + Ajuste'!J91,IF(G91&lt;$Q$69,(SUMIFS($G$18:$G$60,$B$18:$B$60,$D$91,$D$18:$D$60,"Ponta")),(SUMIFS($H$18:$H$60,$B$18:$B$60,$D$91,$D$18:$D$60,"Ponta"))))</f>
        <v>0</v>
      </c>
      <c r="M91" s="1251">
        <f>IF(MONTH(DataRevRea)=7,'Rede Básica + Ajuste'!K91,IF(G91&lt;$Q$69,(SUMIFS($G$18:$G$60,$B$18:$B$60,$D$91,$D$18:$D$60,"Fora Ponta")),(SUMIFS($H$18:$H$60,$B$18:$B$60,$D$91,$D$18:$D$60,"Fora Ponta"))))</f>
        <v>0</v>
      </c>
      <c r="N91" s="1252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3" t="s">
        <v>1176</v>
      </c>
      <c r="E93" s="1254" t="s">
        <v>1177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5" t="str">
        <f>C79</f>
        <v>Cobertura 2021</v>
      </c>
      <c r="D94" s="1256">
        <f>SUMPRODUCT(H91:H102,J91:J102)</f>
        <v>0</v>
      </c>
      <c r="E94" s="1256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5" t="s">
        <v>1178</v>
      </c>
      <c r="D95" s="1256">
        <f>SUMPRODUCT(H91:H102,L91:L102)</f>
        <v>0</v>
      </c>
      <c r="E95" s="1256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7">
        <f t="shared" si="13"/>
        <v>44774</v>
      </c>
      <c r="H102" s="1258">
        <f t="shared" si="13"/>
        <v>0</v>
      </c>
      <c r="I102" s="1258">
        <f t="shared" si="13"/>
        <v>0</v>
      </c>
      <c r="J102" s="1258">
        <f t="shared" si="14"/>
        <v>0</v>
      </c>
      <c r="K102" s="1258">
        <f t="shared" si="15"/>
        <v>0</v>
      </c>
      <c r="L102" s="1258">
        <f>IF(MONTH(DataRevRea)=7,'Rede Básica + Ajuste'!J102,IF(G102&lt;$Q$69,(SUMIFS($G$18:$G$60,$B$18:$B$60,$D$91,$D$18:$D$60,"Ponta")),(SUMIFS($H$18:$H$60,$B$18:$B$60,$D$91,$D$18:$D$60,"Ponta"))))</f>
        <v>0</v>
      </c>
      <c r="M102" s="1258">
        <f>IF(MONTH(DataRevRea)=7,'Rede Básica + Ajuste'!K102,IF(G102&lt;$Q$69,(SUMIFS($G$18:$G$60,$B$18:$B$60,$D$91,$D$18:$D$60,"Fora Ponta")),(SUMIFS($H$18:$H$60,$B$18:$B$60,$D$91,$D$18:$D$60,"Fora Ponta"))))</f>
        <v>0</v>
      </c>
      <c r="N102" s="1259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5" t="s">
        <v>1168</v>
      </c>
      <c r="K104" s="1826"/>
      <c r="L104" s="1827" t="s">
        <v>1169</v>
      </c>
      <c r="M104" s="1827"/>
      <c r="N104" s="278"/>
    </row>
    <row r="105" spans="3:14" ht="15.75">
      <c r="C105" s="1828" t="s">
        <v>1151</v>
      </c>
      <c r="D105" s="1829"/>
      <c r="F105" s="270"/>
      <c r="G105" s="1246" t="s">
        <v>646</v>
      </c>
      <c r="H105" s="1247" t="s">
        <v>1170</v>
      </c>
      <c r="I105" s="1247" t="s">
        <v>1171</v>
      </c>
      <c r="J105" s="1248" t="s">
        <v>1172</v>
      </c>
      <c r="K105" s="1248" t="s">
        <v>1173</v>
      </c>
      <c r="L105" s="1248" t="s">
        <v>1172</v>
      </c>
      <c r="M105" s="1248" t="s">
        <v>1173</v>
      </c>
      <c r="N105" s="277" t="s">
        <v>1174</v>
      </c>
    </row>
    <row r="106" spans="3:14" ht="15.75">
      <c r="C106" s="1243" t="s">
        <v>1175</v>
      </c>
      <c r="D106" s="1260">
        <f>IF(D19="Ponta",B19,0)</f>
        <v>0</v>
      </c>
      <c r="E106" s="18"/>
      <c r="F106" s="270"/>
      <c r="G106" s="1250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1">
        <f>IF(MONTH(DataRevRea)=7,'Rede Básica + Ajuste'!J106,IF(G106&lt;$Q$69,(SUMIFS($E$18:$E$60,$B$18:$B$60,$D$106,$D$18:$D$60,"Ponta")),(SUMIFS($F$18:$F$60,$B$18:$B$60,$D$106,$D$18:$D$60,"Ponta"))))</f>
        <v>0</v>
      </c>
      <c r="M106" s="1251">
        <f>IF(MONTH(DataRevRea)=7,'Rede Básica + Ajuste'!K106,IF(G106&lt;$Q$69,(SUMIFS($E$18:$E$60,$B$18:$B$60,$D$106,$D$18:$D$60,"Fora Ponta")),(SUMIFS($F$18:$F$60,$B$18:$B$60,$D$106,$D$18:$D$60,"Fora Ponta"))))</f>
        <v>0</v>
      </c>
      <c r="N106" s="1252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3" t="s">
        <v>1176</v>
      </c>
      <c r="E108" s="1254" t="s">
        <v>1177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5" t="str">
        <f>C94</f>
        <v>Cobertura 2021</v>
      </c>
      <c r="D109" s="1256">
        <f>SUMPRODUCT(H106:H117,J106:J117)</f>
        <v>0</v>
      </c>
      <c r="E109" s="1256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5" t="s">
        <v>1178</v>
      </c>
      <c r="D110" s="1256">
        <f>SUMPRODUCT(H106:H117,L106:L117)</f>
        <v>0</v>
      </c>
      <c r="E110" s="1256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7">
        <f t="shared" si="17"/>
        <v>44774</v>
      </c>
      <c r="H117" s="1258">
        <f>SUMIFS($Y$18:$Y$60,$B$18:$B$60,$D$106,$D$18:$D$60,"Ponta")</f>
        <v>0</v>
      </c>
      <c r="I117" s="1258">
        <f>SUMIFS($Y$18:$Y$60,$B$18:$B$60,$D$106,$D$18:$D$60,"Fora Ponta")</f>
        <v>0</v>
      </c>
      <c r="J117" s="1258">
        <f t="shared" si="18"/>
        <v>0</v>
      </c>
      <c r="K117" s="1258">
        <f t="shared" si="19"/>
        <v>0</v>
      </c>
      <c r="L117" s="1258">
        <f>IF(MONTH(DataRevRea)=7,'Rede Básica + Ajuste'!J117,IF(G117&lt;$Q$69,(SUMIFS($E$18:$E$60,$B$18:$B$60,$D$106,$D$18:$D$60,"Ponta")),(SUMIFS($F$18:$F$60,$B$18:$B$60,$D$106,$D$18:$D$60,"Ponta"))))</f>
        <v>0</v>
      </c>
      <c r="M117" s="1258">
        <f>IF(MONTH(DataRevRea)=7,'Rede Básica + Ajuste'!K117,IF(G117&lt;$Q$69,(SUMIFS($E$18:$E$60,$B$18:$B$60,$D$106,$D$18:$D$60,"Fora Ponta")),(SUMIFS($F$18:$F$60,$B$18:$B$60,$D$106,$D$18:$D$60,"Fora Ponta"))))</f>
        <v>0</v>
      </c>
      <c r="N117" s="1259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5" t="s">
        <v>1168</v>
      </c>
      <c r="K119" s="1826"/>
      <c r="L119" s="1827" t="s">
        <v>1169</v>
      </c>
      <c r="M119" s="1827"/>
      <c r="N119" s="278"/>
    </row>
    <row r="120" spans="3:14" ht="15.75">
      <c r="C120" s="1828" t="s">
        <v>1179</v>
      </c>
      <c r="D120" s="1829"/>
      <c r="F120" s="270"/>
      <c r="G120" s="1246" t="s">
        <v>646</v>
      </c>
      <c r="H120" s="1247" t="s">
        <v>1170</v>
      </c>
      <c r="I120" s="1247" t="s">
        <v>1171</v>
      </c>
      <c r="J120" s="1248" t="s">
        <v>1172</v>
      </c>
      <c r="K120" s="1248" t="s">
        <v>1173</v>
      </c>
      <c r="L120" s="1248" t="s">
        <v>1172</v>
      </c>
      <c r="M120" s="1248" t="s">
        <v>1173</v>
      </c>
      <c r="N120" s="277" t="s">
        <v>1174</v>
      </c>
    </row>
    <row r="121" spans="3:14" ht="15.75">
      <c r="C121" s="1243" t="s">
        <v>1175</v>
      </c>
      <c r="D121" s="1260">
        <f>IF(D19="Ponta",B19,0)</f>
        <v>0</v>
      </c>
      <c r="E121" s="18"/>
      <c r="F121" s="270"/>
      <c r="G121" s="1250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1">
        <f>IF(MONTH(DataRevRea)=7,'Rede Básica + Ajuste'!J121,IF(G121&lt;$Q$69,(SUMIFS($G$18:$G$60,$B$18:$B$60,$D$121,$D$18:$D$60,"Ponta")),(SUMIFS($H$18:$H$60,$B$18:$B$60,$D$121,$D$18:$D$60,"Ponta"))))</f>
        <v>0</v>
      </c>
      <c r="M121" s="1251">
        <f>IF(MONTH(DataRevRea)=7,'Rede Básica + Ajuste'!K121,IF(G121&lt;$Q$69,(SUMIFS($G$18:$G$60,$B$18:$B$60,$D$121,$D$18:$D$60,"Fora Ponta")),(SUMIFS($H$18:$H$60,$B$18:$B$60,$D$121,$D$18:$D$60,"Fora Ponta"))))</f>
        <v>0</v>
      </c>
      <c r="N121" s="1252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3" t="s">
        <v>1176</v>
      </c>
      <c r="E123" s="1254" t="s">
        <v>1177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5" t="str">
        <f>C109</f>
        <v>Cobertura 2021</v>
      </c>
      <c r="D124" s="1256">
        <f>SUMPRODUCT(H121:H132,J121:J132)</f>
        <v>0</v>
      </c>
      <c r="E124" s="1256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5" t="s">
        <v>1178</v>
      </c>
      <c r="D125" s="1256">
        <f>SUMPRODUCT(H121:H132,L121:L132)</f>
        <v>0</v>
      </c>
      <c r="E125" s="1256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7">
        <f t="shared" si="21"/>
        <v>44774</v>
      </c>
      <c r="H132" s="1258">
        <f t="shared" si="21"/>
        <v>0</v>
      </c>
      <c r="I132" s="1258">
        <f t="shared" si="21"/>
        <v>0</v>
      </c>
      <c r="J132" s="1258">
        <f t="shared" si="22"/>
        <v>0</v>
      </c>
      <c r="K132" s="1258">
        <f t="shared" si="23"/>
        <v>0</v>
      </c>
      <c r="L132" s="1258">
        <f>IF(MONTH(DataRevRea)=7,'Rede Básica + Ajuste'!J132,IF(G132&lt;$Q$69,(SUMIFS($G$18:$G$60,$B$18:$B$60,$D$121,$D$18:$D$60,"Ponta")),(SUMIFS($H$18:$H$60,$B$18:$B$60,$D$121,$D$18:$D$60,"Ponta"))))</f>
        <v>0</v>
      </c>
      <c r="M132" s="1258">
        <f>IF(MONTH(DataRevRea)=7,'Rede Básica + Ajuste'!K132,IF(G132&lt;$Q$69,(SUMIFS($G$18:$G$60,$B$18:$B$60,$D$121,$D$18:$D$60,"Fora Ponta")),(SUMIFS($H$18:$H$60,$B$18:$B$60,$D$121,$D$18:$D$60,"Fora Ponta"))))</f>
        <v>0</v>
      </c>
      <c r="N132" s="1259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5" t="s">
        <v>1168</v>
      </c>
      <c r="K134" s="1826"/>
      <c r="L134" s="1827" t="s">
        <v>1169</v>
      </c>
      <c r="M134" s="1827"/>
      <c r="N134" s="278"/>
    </row>
    <row r="135" spans="3:14" ht="15.75">
      <c r="C135" s="1828" t="s">
        <v>1151</v>
      </c>
      <c r="D135" s="1829"/>
      <c r="F135" s="270"/>
      <c r="G135" s="1246" t="s">
        <v>646</v>
      </c>
      <c r="H135" s="1247" t="s">
        <v>1170</v>
      </c>
      <c r="I135" s="1247" t="s">
        <v>1171</v>
      </c>
      <c r="J135" s="1248" t="s">
        <v>1172</v>
      </c>
      <c r="K135" s="1248" t="s">
        <v>1173</v>
      </c>
      <c r="L135" s="1248" t="s">
        <v>1172</v>
      </c>
      <c r="M135" s="1248" t="s">
        <v>1173</v>
      </c>
      <c r="N135" s="277" t="s">
        <v>1174</v>
      </c>
    </row>
    <row r="136" spans="3:14" ht="15.75">
      <c r="C136" s="1243" t="s">
        <v>1175</v>
      </c>
      <c r="D136" s="1260">
        <f>IF(D20="Ponta",B20,0)</f>
        <v>0</v>
      </c>
      <c r="E136" s="18"/>
      <c r="F136" s="270"/>
      <c r="G136" s="1250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1">
        <f>IF(MONTH(DataRevRea)=7,'Rede Básica + Ajuste'!J136,IF(G136&lt;$Q$69,(SUMIFS($E$18:$E$60,$B$18:$B$60,$D$136,$D$18:$D$60,"Ponta")),(SUMIFS($F$18:$F$60,$B$18:$B$60,$D$136,$D$18:$D$60,"Ponta"))))</f>
        <v>0</v>
      </c>
      <c r="M136" s="1251">
        <f>IF(MONTH(DataRevRea)=7,'Rede Básica + Ajuste'!K136,IF(G136&lt;$Q$69,(SUMIFS($E$18:$E$60,$B$18:$B$60,$D$136,$D$18:$D$60,"Fora Ponta")),(SUMIFS($F$18:$F$60,$B$18:$B$60,$D$136,$D$18:$D$60,"Fora Ponta"))))</f>
        <v>0</v>
      </c>
      <c r="N136" s="1252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3" t="s">
        <v>1176</v>
      </c>
      <c r="E138" s="1254" t="s">
        <v>1177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5" t="str">
        <f>C124</f>
        <v>Cobertura 2021</v>
      </c>
      <c r="D139" s="1256">
        <f>SUMPRODUCT(H136:H147,J136:J147)</f>
        <v>0</v>
      </c>
      <c r="E139" s="1256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5" t="s">
        <v>1178</v>
      </c>
      <c r="D140" s="1256">
        <f>SUMPRODUCT(H136:H147,L136:L147)</f>
        <v>0</v>
      </c>
      <c r="E140" s="1256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7">
        <f t="shared" si="25"/>
        <v>44774</v>
      </c>
      <c r="H147" s="1258">
        <f>SUMIFS($Y$18:$Y$60,$B$18:$B$60,$D$136,$D$18:$D$60,"Ponta")</f>
        <v>0</v>
      </c>
      <c r="I147" s="1258">
        <f>SUMIFS($Y$18:$Y$60,$B$18:$B$60,$D$136,$D$18:$D$60,"Fora Ponta")</f>
        <v>0</v>
      </c>
      <c r="J147" s="1258">
        <f t="shared" si="26"/>
        <v>0</v>
      </c>
      <c r="K147" s="1258">
        <f t="shared" si="27"/>
        <v>0</v>
      </c>
      <c r="L147" s="1258">
        <f>IF(MONTH(DataRevRea)=7,'Rede Básica + Ajuste'!J147,IF(G147&lt;$Q$69,(SUMIFS($E$18:$E$60,$B$18:$B$60,$D$136,$D$18:$D$60,"Ponta")),(SUMIFS($F$18:$F$60,$B$18:$B$60,$D$136,$D$18:$D$60,"Ponta"))))</f>
        <v>0</v>
      </c>
      <c r="M147" s="1258">
        <f>IF(MONTH(DataRevRea)=7,'Rede Básica + Ajuste'!K147,IF(G147&lt;$Q$69,(SUMIFS($E$18:$E$60,$B$18:$B$60,$D$136,$D$18:$D$60,"Fora Ponta")),(SUMIFS($F$18:$F$60,$B$18:$B$60,$D$136,$D$18:$D$60,"Fora Ponta"))))</f>
        <v>0</v>
      </c>
      <c r="N147" s="1259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5" t="s">
        <v>1168</v>
      </c>
      <c r="K149" s="1826"/>
      <c r="L149" s="1827" t="s">
        <v>1169</v>
      </c>
      <c r="M149" s="1827"/>
      <c r="N149" s="278"/>
    </row>
    <row r="150" spans="3:14" ht="15.75">
      <c r="C150" s="1828" t="s">
        <v>1179</v>
      </c>
      <c r="D150" s="1829"/>
      <c r="F150" s="270"/>
      <c r="G150" s="1246" t="s">
        <v>646</v>
      </c>
      <c r="H150" s="1247" t="s">
        <v>1170</v>
      </c>
      <c r="I150" s="1247" t="s">
        <v>1171</v>
      </c>
      <c r="J150" s="1248" t="s">
        <v>1172</v>
      </c>
      <c r="K150" s="1248" t="s">
        <v>1173</v>
      </c>
      <c r="L150" s="1248" t="s">
        <v>1172</v>
      </c>
      <c r="M150" s="1248" t="s">
        <v>1173</v>
      </c>
      <c r="N150" s="277" t="s">
        <v>1174</v>
      </c>
    </row>
    <row r="151" spans="3:14" ht="15.75">
      <c r="C151" s="1243" t="s">
        <v>1175</v>
      </c>
      <c r="D151" s="1260">
        <f>IF(D20="Ponta",B20,0)</f>
        <v>0</v>
      </c>
      <c r="E151" s="18"/>
      <c r="F151" s="270"/>
      <c r="G151" s="1250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1">
        <f>IF(MONTH(DataRevRea)=7,'Rede Básica + Ajuste'!J151,IF(G151&lt;$Q$69,(SUMIFS($G$18:$G$60,$B$18:$B$60,$D$151,$D$18:$D$60,"Ponta")),(SUMIFS($H$18:$H$60,$B$18:$B$60,$D$151,$D$18:$D$60,"Ponta"))))</f>
        <v>0</v>
      </c>
      <c r="M151" s="1251">
        <f>IF(MONTH(DataRevRea)=7,'Rede Básica + Ajuste'!K151,IF(G151&lt;$Q$69,(SUMIFS($G$18:$G$60,$B$18:$B$60,$D$151,$D$18:$D$60,"Fora Ponta")),(SUMIFS($H$18:$H$60,$B$18:$B$60,$D$151,$D$18:$D$60,"Fora Ponta"))))</f>
        <v>0</v>
      </c>
      <c r="N151" s="1252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3" t="s">
        <v>1176</v>
      </c>
      <c r="E153" s="1254" t="s">
        <v>1177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5" t="str">
        <f>C139</f>
        <v>Cobertura 2021</v>
      </c>
      <c r="D154" s="1256">
        <f>SUMPRODUCT(H151:H162,J151:J162)</f>
        <v>0</v>
      </c>
      <c r="E154" s="1256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5" t="s">
        <v>1178</v>
      </c>
      <c r="D155" s="1256">
        <f>SUMPRODUCT(H151:H162,L151:L162)</f>
        <v>0</v>
      </c>
      <c r="E155" s="1256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7">
        <f t="shared" si="29"/>
        <v>44774</v>
      </c>
      <c r="H162" s="1258">
        <f t="shared" si="29"/>
        <v>0</v>
      </c>
      <c r="I162" s="1258">
        <f t="shared" si="29"/>
        <v>0</v>
      </c>
      <c r="J162" s="1258">
        <f t="shared" si="30"/>
        <v>0</v>
      </c>
      <c r="K162" s="1258">
        <f t="shared" si="31"/>
        <v>0</v>
      </c>
      <c r="L162" s="1258">
        <f>IF(MONTH(DataRevRea)=7,'Rede Básica + Ajuste'!J162,IF(G162&lt;$Q$69,(SUMIFS($G$18:$G$60,$B$18:$B$60,$D$151,$D$18:$D$60,"Ponta")),(SUMIFS($H$18:$H$60,$B$18:$B$60,$D$151,$D$18:$D$60,"Ponta"))))</f>
        <v>0</v>
      </c>
      <c r="M162" s="1258">
        <f>IF(MONTH(DataRevRea)=7,'Rede Básica + Ajuste'!K162,IF(G162&lt;$Q$69,(SUMIFS($G$18:$G$60,$B$18:$B$60,$D$151,$D$18:$D$60,"Fora Ponta")),(SUMIFS($H$18:$H$60,$B$18:$B$60,$D$151,$D$18:$D$60,"Fora Ponta"))))</f>
        <v>0</v>
      </c>
      <c r="N162" s="1259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5" t="s">
        <v>1168</v>
      </c>
      <c r="K164" s="1826"/>
      <c r="L164" s="1827" t="s">
        <v>1169</v>
      </c>
      <c r="M164" s="1827"/>
      <c r="N164" s="278"/>
    </row>
    <row r="165" spans="3:14" ht="15.75">
      <c r="C165" s="1828" t="s">
        <v>1151</v>
      </c>
      <c r="D165" s="1829"/>
      <c r="F165" s="270"/>
      <c r="G165" s="1246" t="s">
        <v>646</v>
      </c>
      <c r="H165" s="1247" t="s">
        <v>1170</v>
      </c>
      <c r="I165" s="1247" t="s">
        <v>1171</v>
      </c>
      <c r="J165" s="1248" t="s">
        <v>1172</v>
      </c>
      <c r="K165" s="1248" t="s">
        <v>1173</v>
      </c>
      <c r="L165" s="1248" t="s">
        <v>1172</v>
      </c>
      <c r="M165" s="1248" t="s">
        <v>1173</v>
      </c>
      <c r="N165" s="277" t="s">
        <v>1174</v>
      </c>
    </row>
    <row r="166" spans="3:14" ht="15.75">
      <c r="C166" s="1243" t="s">
        <v>1175</v>
      </c>
      <c r="D166" s="1260">
        <f>IF(D21="Ponta",B21,0)</f>
        <v>0</v>
      </c>
      <c r="E166" s="18"/>
      <c r="F166" s="270"/>
      <c r="G166" s="1250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1">
        <f>IF(MONTH(DataRevRea)=7,'Rede Básica + Ajuste'!J166,IF(G166&lt;$Q$69,(SUMIFS($E$18:$E$60,$B$18:$B$60,$D$166,$D$18:$D$60,"Ponta")),(SUMIFS($F$18:$F$60,$B$18:$B$60,$D$166,$D$18:$D$60,"Ponta"))))</f>
        <v>0</v>
      </c>
      <c r="M166" s="1251">
        <f>IF(MONTH(DataRevRea)=7,'Rede Básica + Ajuste'!K166,IF(G166&lt;$Q$69,(SUMIFS($E$18:$E$60,$B$18:$B$60,$D$166,$D$18:$D$60,"Fora Ponta")),(SUMIFS($F$18:$F$60,$B$18:$B$60,$D$166,$D$18:$D$60,"Fora Ponta"))))</f>
        <v>0</v>
      </c>
      <c r="N166" s="1252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3" t="s">
        <v>1176</v>
      </c>
      <c r="E168" s="1254" t="s">
        <v>1177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5" t="str">
        <f>C154</f>
        <v>Cobertura 2021</v>
      </c>
      <c r="D169" s="1256">
        <f>SUMPRODUCT(H166:H177,J166:J177)</f>
        <v>0</v>
      </c>
      <c r="E169" s="1256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5" t="s">
        <v>1178</v>
      </c>
      <c r="D170" s="1256">
        <f>SUMPRODUCT(H166:H177,L166:L177)</f>
        <v>0</v>
      </c>
      <c r="E170" s="1256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7">
        <f t="shared" si="33"/>
        <v>44774</v>
      </c>
      <c r="H177" s="1258">
        <f>SUMIFS($Y$18:$Y$60,$B$18:$B$60,$D$166,$D$18:$D$60,"Ponta")</f>
        <v>0</v>
      </c>
      <c r="I177" s="1258">
        <f>SUMIFS($Y$18:$Y$60,$B$18:$B$60,$D$166,$D$18:$D$60,"Fora Ponta")</f>
        <v>0</v>
      </c>
      <c r="J177" s="1258">
        <f t="shared" si="34"/>
        <v>0</v>
      </c>
      <c r="K177" s="1258">
        <f t="shared" si="35"/>
        <v>0</v>
      </c>
      <c r="L177" s="1258">
        <f>IF(MONTH(DataRevRea)=7,'Rede Básica + Ajuste'!J177,IF(G177&lt;$Q$69,(SUMIFS($E$18:$E$60,$B$18:$B$60,$D$166,$D$18:$D$60,"Ponta")),(SUMIFS($F$18:$F$60,$B$18:$B$60,$D$166,$D$18:$D$60,"Ponta"))))</f>
        <v>0</v>
      </c>
      <c r="M177" s="1258">
        <f>IF(MONTH(DataRevRea)=7,'Rede Básica + Ajuste'!K177,IF(G177&lt;$Q$69,(SUMIFS($E$18:$E$60,$B$18:$B$60,$D$166,$D$18:$D$60,"Fora Ponta")),(SUMIFS($F$18:$F$60,$B$18:$B$60,$D$166,$D$18:$D$60,"Fora Ponta"))))</f>
        <v>0</v>
      </c>
      <c r="N177" s="1259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5" t="s">
        <v>1168</v>
      </c>
      <c r="K179" s="1826"/>
      <c r="L179" s="1827" t="s">
        <v>1169</v>
      </c>
      <c r="M179" s="1827"/>
      <c r="N179" s="278"/>
    </row>
    <row r="180" spans="3:14" ht="15.75">
      <c r="C180" s="1828" t="s">
        <v>1179</v>
      </c>
      <c r="D180" s="1829"/>
      <c r="F180" s="270"/>
      <c r="G180" s="1246" t="s">
        <v>646</v>
      </c>
      <c r="H180" s="1247" t="s">
        <v>1170</v>
      </c>
      <c r="I180" s="1247" t="s">
        <v>1171</v>
      </c>
      <c r="J180" s="1248" t="s">
        <v>1172</v>
      </c>
      <c r="K180" s="1248" t="s">
        <v>1173</v>
      </c>
      <c r="L180" s="1248" t="s">
        <v>1172</v>
      </c>
      <c r="M180" s="1248" t="s">
        <v>1173</v>
      </c>
      <c r="N180" s="277" t="s">
        <v>1174</v>
      </c>
    </row>
    <row r="181" spans="3:14" ht="15.75">
      <c r="C181" s="1243" t="s">
        <v>1175</v>
      </c>
      <c r="D181" s="1260">
        <f>IF(D21="Ponta",B21,0)</f>
        <v>0</v>
      </c>
      <c r="E181" s="18"/>
      <c r="F181" s="270"/>
      <c r="G181" s="1250">
        <f>G166</f>
        <v>44440</v>
      </c>
      <c r="H181" s="272">
        <f>H166</f>
        <v>0</v>
      </c>
      <c r="I181" s="272">
        <f>I166</f>
        <v>0</v>
      </c>
      <c r="J181" s="1251">
        <f>SUMIFS($G$18:$G$60,$B$18:$B$60,$D$181,$D$18:$D$60,"Ponta")</f>
        <v>0</v>
      </c>
      <c r="K181" s="1251">
        <f>SUMIFS($G$18:$G$60,$B$18:$B$60,$D$181,$D$18:$D$60,"Fora Ponta")</f>
        <v>0</v>
      </c>
      <c r="L181" s="1251">
        <f>IF(MONTH(DataRevRea)=7,'Rede Básica + Ajuste'!J181,IF(G181&lt;$Q$69,(SUMIFS($G$18:$G$60,$B$18:$B$60,$D$181,$D$18:$D$60,"Ponta")),(SUMIFS($H$18:$H$60,$B$18:$B$60,$D$181,$D$18:$D$60,"Ponta"))))</f>
        <v>0</v>
      </c>
      <c r="M181" s="1251">
        <f>IF(MONTH(DataRevRea)=7,'Rede Básica + Ajuste'!K181,IF(G181&lt;$Q$69,(SUMIFS($G$18:$G$60,$B$18:$B$60,$D$181,$D$18:$D$60,"Fora Ponta")),(SUMIFS($H$18:$H$60,$B$18:$B$60,$D$181,$D$18:$D$60,"Fora Ponta"))))</f>
        <v>0</v>
      </c>
      <c r="N181" s="1252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3" t="s">
        <v>1176</v>
      </c>
      <c r="E183" s="1254" t="s">
        <v>1177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5" t="str">
        <f>C169</f>
        <v>Cobertura 2021</v>
      </c>
      <c r="D184" s="1256">
        <f>SUMPRODUCT(H181:H192,J181:J192)</f>
        <v>0</v>
      </c>
      <c r="E184" s="1256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5" t="s">
        <v>1178</v>
      </c>
      <c r="D185" s="1256">
        <f>SUMPRODUCT(H181:H192,L181:L192)</f>
        <v>0</v>
      </c>
      <c r="E185" s="1256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7">
        <f t="shared" si="37"/>
        <v>44774</v>
      </c>
      <c r="H192" s="1258">
        <f t="shared" si="37"/>
        <v>0</v>
      </c>
      <c r="I192" s="1258">
        <f t="shared" si="37"/>
        <v>0</v>
      </c>
      <c r="J192" s="1258">
        <f t="shared" si="38"/>
        <v>0</v>
      </c>
      <c r="K192" s="1258">
        <f t="shared" si="39"/>
        <v>0</v>
      </c>
      <c r="L192" s="1258">
        <f>IF(MONTH(DataRevRea)=7,'Rede Básica + Ajuste'!J192,IF(G192&lt;$Q$69,(SUMIFS($G$18:$G$60,$B$18:$B$60,$D$181,$D$18:$D$60,"Ponta")),(SUMIFS($H$18:$H$60,$B$18:$B$60,$D$181,$D$18:$D$60,"Ponta"))))</f>
        <v>0</v>
      </c>
      <c r="M192" s="1258">
        <f>IF(MONTH(DataRevRea)=7,'Rede Básica + Ajuste'!K192,IF(G192&lt;$Q$69,(SUMIFS($G$18:$G$60,$B$18:$B$60,$D$181,$D$18:$D$60,"Fora Ponta")),(SUMIFS($H$18:$H$60,$B$18:$B$60,$D$181,$D$18:$D$60,"Fora Ponta"))))</f>
        <v>0</v>
      </c>
      <c r="N192" s="1259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5" t="s">
        <v>1168</v>
      </c>
      <c r="K194" s="1826"/>
      <c r="L194" s="1827" t="s">
        <v>1169</v>
      </c>
      <c r="M194" s="1827"/>
      <c r="N194" s="278"/>
    </row>
    <row r="195" spans="3:14" ht="15.75">
      <c r="C195" s="1828" t="s">
        <v>1151</v>
      </c>
      <c r="D195" s="1829"/>
      <c r="F195" s="270"/>
      <c r="G195" s="1246" t="s">
        <v>646</v>
      </c>
      <c r="H195" s="1247" t="s">
        <v>1170</v>
      </c>
      <c r="I195" s="1247" t="s">
        <v>1171</v>
      </c>
      <c r="J195" s="1248" t="s">
        <v>1172</v>
      </c>
      <c r="K195" s="1248" t="s">
        <v>1173</v>
      </c>
      <c r="L195" s="1248" t="s">
        <v>1172</v>
      </c>
      <c r="M195" s="1248" t="s">
        <v>1173</v>
      </c>
      <c r="N195" s="277" t="s">
        <v>1174</v>
      </c>
    </row>
    <row r="196" spans="3:14" ht="15.75">
      <c r="C196" s="1243" t="s">
        <v>1175</v>
      </c>
      <c r="D196" s="1260">
        <f>IF(D22="Ponta",B22,0)</f>
        <v>0</v>
      </c>
      <c r="E196" s="18"/>
      <c r="F196" s="270"/>
      <c r="G196" s="1250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1">
        <f>SUMIFS($E$18:$E$60,$B$18:$B$60,$D$196,$D$18:$D$60,"Ponta")</f>
        <v>0</v>
      </c>
      <c r="K196" s="1251">
        <f>SUMIFS($E$18:$E$60,$B$18:$B$60,$D$196,$D$18:$D$60,"Fora Ponta")</f>
        <v>0</v>
      </c>
      <c r="L196" s="1251">
        <f>IF(MONTH(DataRevRea)=7,'Rede Básica + Ajuste'!J196,IF(G196&lt;$Q$69,(SUMIFS($E$18:$E$60,$B$18:$B$60,$D$196,$D$18:$D$60,"Ponta")),(SUMIFS($F$18:$F$60,$B$18:$B$60,$D$196,$D$18:$D$60,"Ponta"))))</f>
        <v>0</v>
      </c>
      <c r="M196" s="1251">
        <f>IF(MONTH(DataRevRea)=7,'Rede Básica + Ajuste'!K196,IF(G196&lt;$Q$69,(SUMIFS($E$18:$E$60,$B$18:$B$60,$D$196,$D$18:$D$60,"Fora Ponta")),(SUMIFS($F$18:$F$60,$B$18:$B$60,$D$196,$D$18:$D$60,"Fora Ponta"))))</f>
        <v>0</v>
      </c>
      <c r="N196" s="1252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3" t="s">
        <v>1176</v>
      </c>
      <c r="E198" s="1254" t="s">
        <v>1177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5" t="str">
        <f>C184</f>
        <v>Cobertura 2021</v>
      </c>
      <c r="D199" s="1256">
        <f>SUMPRODUCT(H196:H207,J196:J207)</f>
        <v>0</v>
      </c>
      <c r="E199" s="1256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5" t="s">
        <v>1178</v>
      </c>
      <c r="D200" s="1256">
        <f>SUMPRODUCT(H196:H207,L196:L207)</f>
        <v>0</v>
      </c>
      <c r="E200" s="1256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7">
        <f t="shared" si="41"/>
        <v>44774</v>
      </c>
      <c r="H207" s="1258">
        <f>SUMIFS($Y$18:$Y$60,$B$18:$B$60,$D$196,$D$18:$D$60,"Ponta")</f>
        <v>0</v>
      </c>
      <c r="I207" s="1258">
        <f>SUMIFS($Y$18:$Y$60,$B$18:$B$60,$D$196,$D$18:$D$60,"Fora Ponta")</f>
        <v>0</v>
      </c>
      <c r="J207" s="1258">
        <f t="shared" si="42"/>
        <v>0</v>
      </c>
      <c r="K207" s="1258">
        <f t="shared" si="43"/>
        <v>0</v>
      </c>
      <c r="L207" s="1258">
        <f>IF(MONTH(DataRevRea)=7,'Rede Básica + Ajuste'!J207,IF(G207&lt;$Q$69,(SUMIFS($E$18:$E$60,$B$18:$B$60,$D$196,$D$18:$D$60,"Ponta")),(SUMIFS($F$18:$F$60,$B$18:$B$60,$D$196,$D$18:$D$60,"Ponta"))))</f>
        <v>0</v>
      </c>
      <c r="M207" s="1258">
        <f>IF(MONTH(DataRevRea)=7,'Rede Básica + Ajuste'!K207,IF(G207&lt;$Q$69,(SUMIFS($E$18:$E$60,$B$18:$B$60,$D$196,$D$18:$D$60,"Fora Ponta")),(SUMIFS($F$18:$F$60,$B$18:$B$60,$D$196,$D$18:$D$60,"Fora Ponta"))))</f>
        <v>0</v>
      </c>
      <c r="N207" s="1259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5" t="s">
        <v>1168</v>
      </c>
      <c r="K209" s="1826"/>
      <c r="L209" s="1827" t="s">
        <v>1169</v>
      </c>
      <c r="M209" s="1827"/>
      <c r="N209" s="278"/>
    </row>
    <row r="210" spans="3:14" ht="15.75">
      <c r="C210" s="1828" t="s">
        <v>1179</v>
      </c>
      <c r="D210" s="1829"/>
      <c r="F210" s="270"/>
      <c r="G210" s="1246" t="s">
        <v>646</v>
      </c>
      <c r="H210" s="1247" t="s">
        <v>1170</v>
      </c>
      <c r="I210" s="1247" t="s">
        <v>1171</v>
      </c>
      <c r="J210" s="1248" t="s">
        <v>1172</v>
      </c>
      <c r="K210" s="1248" t="s">
        <v>1173</v>
      </c>
      <c r="L210" s="1248" t="s">
        <v>1172</v>
      </c>
      <c r="M210" s="1248" t="s">
        <v>1173</v>
      </c>
      <c r="N210" s="277" t="s">
        <v>1174</v>
      </c>
    </row>
    <row r="211" spans="3:14" ht="15.75">
      <c r="C211" s="1243" t="s">
        <v>1175</v>
      </c>
      <c r="D211" s="1260">
        <f>IF(D22="Ponta",B22,0)</f>
        <v>0</v>
      </c>
      <c r="E211" s="18"/>
      <c r="F211" s="270"/>
      <c r="G211" s="1250">
        <f>G196</f>
        <v>44440</v>
      </c>
      <c r="H211" s="272">
        <f>H196</f>
        <v>0</v>
      </c>
      <c r="I211" s="272">
        <f>I196</f>
        <v>0</v>
      </c>
      <c r="J211" s="1251">
        <f>SUMIFS($G$18:$G$60,$B$18:$B$60,$D$211,$D$18:$D$60,"Ponta")</f>
        <v>0</v>
      </c>
      <c r="K211" s="1251">
        <f>SUMIFS($G$18:$G$60,$B$18:$B$60,$D$211,$D$18:$D$60,"Fora Ponta")</f>
        <v>0</v>
      </c>
      <c r="L211" s="1251">
        <f>IF(MONTH(DataRevRea)=7,'Rede Básica + Ajuste'!J211,IF(G211&lt;$Q$69,(SUMIFS($G$18:$G$60,$B$18:$B$60,$D$211,$D$18:$D$60,"Ponta")),(SUMIFS($H$18:$H$60,$B$18:$B$60,$D$211,$D$18:$D$60,"Ponta"))))</f>
        <v>0</v>
      </c>
      <c r="M211" s="1251">
        <f>IF(MONTH(DataRevRea)=7,'Rede Básica + Ajuste'!K211,IF(G211&lt;$Q$69,(SUMIFS($G$18:$G$60,$B$18:$B$60,$D$211,$D$18:$D$60,"Fora Ponta")),(SUMIFS($H$18:$H$60,$B$18:$B$60,$D$211,$D$18:$D$60,"Fora Ponta"))))</f>
        <v>0</v>
      </c>
      <c r="N211" s="1252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3" t="s">
        <v>1176</v>
      </c>
      <c r="E213" s="1254" t="s">
        <v>1177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5" t="str">
        <f>C199</f>
        <v>Cobertura 2021</v>
      </c>
      <c r="D214" s="1256">
        <f>SUMPRODUCT(H211:H222,J211:J222)</f>
        <v>0</v>
      </c>
      <c r="E214" s="1256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5" t="s">
        <v>1178</v>
      </c>
      <c r="D215" s="1256">
        <f>SUMPRODUCT(H211:H222,L211:L222)</f>
        <v>0</v>
      </c>
      <c r="E215" s="1256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7">
        <f t="shared" si="45"/>
        <v>44774</v>
      </c>
      <c r="H222" s="1258">
        <f t="shared" si="45"/>
        <v>0</v>
      </c>
      <c r="I222" s="1258">
        <f t="shared" si="45"/>
        <v>0</v>
      </c>
      <c r="J222" s="1258">
        <f t="shared" si="46"/>
        <v>0</v>
      </c>
      <c r="K222" s="1258">
        <f t="shared" si="47"/>
        <v>0</v>
      </c>
      <c r="L222" s="1258">
        <f>IF(MONTH(DataRevRea)=7,'Rede Básica + Ajuste'!J222,IF(G222&lt;$Q$69,(SUMIFS($G$18:$G$60,$B$18:$B$60,$D$211,$D$18:$D$60,"Ponta")),(SUMIFS($H$18:$H$60,$B$18:$B$60,$D$211,$D$18:$D$60,"Ponta"))))</f>
        <v>0</v>
      </c>
      <c r="M222" s="1258">
        <f>IF(MONTH(DataRevRea)=7,'Rede Básica + Ajuste'!K222,IF(G222&lt;$Q$69,(SUMIFS($G$18:$G$60,$B$18:$B$60,$D$211,$D$18:$D$60,"Fora Ponta")),(SUMIFS($H$18:$H$60,$B$18:$B$60,$D$211,$D$18:$D$60,"Fora Ponta"))))</f>
        <v>0</v>
      </c>
      <c r="N222" s="1259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638</v>
      </c>
      <c r="C1" s="1019"/>
      <c r="D1" s="933"/>
      <c r="E1" s="1227"/>
      <c r="F1" s="1227"/>
      <c r="G1" s="1129" t="s">
        <v>871</v>
      </c>
      <c r="H1" s="1130">
        <f ca="1">LnkTXTIRTEco</f>
        <v>0.1694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1180</v>
      </c>
      <c r="AL1" s="183">
        <v>7947</v>
      </c>
      <c r="AM1" s="182" t="s">
        <v>1181</v>
      </c>
    </row>
    <row r="2" spans="2:39" ht="15" thickBot="1">
      <c r="B2" s="136" t="str">
        <f>CAPA!C9</f>
        <v>Cejama</v>
      </c>
      <c r="C2" s="70"/>
      <c r="D2" s="70"/>
      <c r="G2" s="120" t="s">
        <v>875</v>
      </c>
      <c r="H2" s="121">
        <f ca="1">LnkTXTIRTTotal</f>
        <v>1.52E-2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1182</v>
      </c>
      <c r="AL2" s="185">
        <v>7959</v>
      </c>
      <c r="AM2" s="186" t="s">
        <v>1183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1184</v>
      </c>
      <c r="AL4" s="169">
        <v>7972</v>
      </c>
      <c r="AM4" s="170" t="s">
        <v>1185</v>
      </c>
    </row>
    <row r="5" spans="2:39" ht="29.25" thickBot="1">
      <c r="B5" s="1231" t="s">
        <v>1186</v>
      </c>
      <c r="C5" s="1231" t="s">
        <v>1187</v>
      </c>
      <c r="D5" s="1231" t="s">
        <v>1188</v>
      </c>
      <c r="E5" s="1231" t="s">
        <v>1189</v>
      </c>
      <c r="F5" s="1231" t="s">
        <v>1190</v>
      </c>
      <c r="G5" s="1231" t="s">
        <v>1191</v>
      </c>
      <c r="J5" s="156" t="s">
        <v>1192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1193</v>
      </c>
      <c r="AL5" s="169">
        <v>7973</v>
      </c>
      <c r="AM5" s="170" t="s">
        <v>1194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770</v>
      </c>
      <c r="K6" s="167">
        <v>3</v>
      </c>
      <c r="AK6" s="168" t="s">
        <v>1195</v>
      </c>
      <c r="AL6" s="169">
        <v>7974</v>
      </c>
      <c r="AM6" s="170" t="s">
        <v>1196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1197</v>
      </c>
      <c r="AL7" s="169">
        <v>7977</v>
      </c>
      <c r="AM7" s="170" t="s">
        <v>1198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1199</v>
      </c>
      <c r="AL8" s="169">
        <v>7978</v>
      </c>
      <c r="AM8" s="170" t="s">
        <v>1200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1201</v>
      </c>
      <c r="AL9" s="169">
        <v>7979</v>
      </c>
      <c r="AM9" s="170" t="s">
        <v>1202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1203</v>
      </c>
      <c r="AL10" s="169">
        <v>8047</v>
      </c>
      <c r="AM10" s="170" t="s">
        <v>1204</v>
      </c>
    </row>
    <row r="11" spans="2:39" ht="15" thickBot="1">
      <c r="B11" s="1261" t="s">
        <v>758</v>
      </c>
      <c r="C11" s="1262">
        <f>SUM(C6:C10)</f>
        <v>0</v>
      </c>
      <c r="D11" s="1262">
        <f>SUM(D6:D10)</f>
        <v>0</v>
      </c>
      <c r="E11" s="1263">
        <f>SUM(E6:E10)</f>
        <v>0</v>
      </c>
      <c r="F11" s="1264"/>
      <c r="G11" s="1265">
        <f>SUM(G6:G10)</f>
        <v>0</v>
      </c>
      <c r="AK11" s="168" t="s">
        <v>1205</v>
      </c>
      <c r="AL11" s="169">
        <v>8049</v>
      </c>
      <c r="AM11" s="170" t="s">
        <v>1206</v>
      </c>
    </row>
    <row r="12" spans="2:39" ht="15" thickBot="1">
      <c r="B12" s="164"/>
      <c r="C12" s="163"/>
      <c r="D12" s="1266" t="s">
        <v>1207</v>
      </c>
      <c r="E12" s="1266"/>
      <c r="F12" s="1267">
        <f>IF(MONTH(CAPA!C15)&gt;6,DATE(YEAR(CAPA!C15),6,1),DATE(YEAR(CAPA!C15)-1,6,1))</f>
        <v>44713</v>
      </c>
      <c r="G12" s="187"/>
      <c r="AK12" s="168" t="s">
        <v>1208</v>
      </c>
      <c r="AL12" s="169">
        <v>8050</v>
      </c>
      <c r="AM12" s="170" t="s">
        <v>1209</v>
      </c>
    </row>
    <row r="13" spans="2:39" ht="15" thickBot="1">
      <c r="B13" s="180"/>
      <c r="C13" s="180"/>
      <c r="D13" s="180"/>
      <c r="F13" s="181" t="s">
        <v>1210</v>
      </c>
      <c r="AK13" s="168"/>
      <c r="AL13" s="169"/>
      <c r="AM13" s="170"/>
    </row>
    <row r="14" spans="2:39" ht="15" thickBot="1">
      <c r="B14" s="180"/>
      <c r="C14" s="180"/>
      <c r="AK14" s="168" t="s">
        <v>1211</v>
      </c>
      <c r="AL14" s="169">
        <v>8051</v>
      </c>
      <c r="AM14" s="170" t="s">
        <v>1212</v>
      </c>
    </row>
    <row r="15" spans="2:39" ht="29.25" thickBot="1">
      <c r="B15" s="1231" t="s">
        <v>1186</v>
      </c>
      <c r="C15" s="1231" t="s">
        <v>1187</v>
      </c>
      <c r="D15" s="1231" t="s">
        <v>1213</v>
      </c>
      <c r="E15" s="1231" t="s">
        <v>1214</v>
      </c>
      <c r="F15" s="149"/>
      <c r="AK15" s="168" t="s">
        <v>1215</v>
      </c>
      <c r="AL15" s="169">
        <v>8057</v>
      </c>
      <c r="AM15" s="170" t="s">
        <v>1216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1217</v>
      </c>
      <c r="AL16" s="169">
        <v>8058</v>
      </c>
      <c r="AM16" s="170" t="s">
        <v>1218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1219</v>
      </c>
      <c r="AL17" s="169">
        <v>8220</v>
      </c>
      <c r="AM17" s="170" t="s">
        <v>1220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1221</v>
      </c>
      <c r="AL18" s="169">
        <v>8221</v>
      </c>
      <c r="AM18" s="170" t="s">
        <v>1222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1223</v>
      </c>
      <c r="AL19" s="169">
        <v>8231</v>
      </c>
      <c r="AM19" s="170" t="s">
        <v>1224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1225</v>
      </c>
      <c r="AL20" s="169">
        <v>8261</v>
      </c>
      <c r="AM20" s="170" t="s">
        <v>1226</v>
      </c>
    </row>
    <row r="21" spans="2:39">
      <c r="B21" s="1261" t="s">
        <v>758</v>
      </c>
      <c r="C21" s="1268">
        <f>SUM(C16:C20)</f>
        <v>0</v>
      </c>
      <c r="D21" s="1268">
        <f>SUM(D16:D20)</f>
        <v>0</v>
      </c>
      <c r="E21" s="1268">
        <f>SUM(E16:E20)</f>
        <v>0</v>
      </c>
      <c r="F21" s="149"/>
      <c r="AK21" s="171" t="s">
        <v>1227</v>
      </c>
      <c r="AL21" s="172">
        <v>8263</v>
      </c>
      <c r="AM21" s="173" t="s">
        <v>1228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950</v>
      </c>
      <c r="C1" s="1019"/>
      <c r="D1" s="1269"/>
      <c r="E1" s="1270"/>
      <c r="F1" s="1270"/>
      <c r="G1" s="1129" t="s">
        <v>871</v>
      </c>
      <c r="H1" s="1229">
        <f ca="1">LnkTXTIRTEco</f>
        <v>0.1694</v>
      </c>
    </row>
    <row r="2" spans="1:16" ht="46.5" customHeight="1">
      <c r="B2" s="136" t="str">
        <f>CAPA!C9</f>
        <v>Cejama</v>
      </c>
      <c r="C2" s="70"/>
      <c r="D2" s="70"/>
      <c r="G2" s="120" t="s">
        <v>875</v>
      </c>
      <c r="H2" s="146">
        <f ca="1">LnkTXTIRTTotal</f>
        <v>1.52E-2</v>
      </c>
      <c r="I2" s="90" t="s">
        <v>1229</v>
      </c>
    </row>
    <row r="3" spans="1:16">
      <c r="B3" s="1271" t="s">
        <v>1230</v>
      </c>
      <c r="C3" s="1272">
        <f>SUMPRODUCT(J6:J44,H6:H44)</f>
        <v>4210458.682</v>
      </c>
      <c r="D3" s="73"/>
      <c r="E3" s="1271" t="s">
        <v>1121</v>
      </c>
      <c r="F3" s="68" t="s">
        <v>1231</v>
      </c>
      <c r="G3" s="1273">
        <f>LnkTXTDescTusdAnte</f>
        <v>0</v>
      </c>
      <c r="H3" s="90"/>
      <c r="I3" s="1274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1232</v>
      </c>
      <c r="B5" s="1275" t="s">
        <v>27</v>
      </c>
      <c r="C5" s="1275" t="s">
        <v>21</v>
      </c>
      <c r="D5" s="1275" t="s">
        <v>22</v>
      </c>
      <c r="E5" s="1275" t="s">
        <v>78</v>
      </c>
      <c r="F5" s="1275" t="s">
        <v>815</v>
      </c>
      <c r="G5" s="1275" t="s">
        <v>1233</v>
      </c>
      <c r="H5" s="1275" t="s">
        <v>60</v>
      </c>
      <c r="I5" s="1275" t="s">
        <v>1122</v>
      </c>
      <c r="J5" s="1275" t="s">
        <v>1123</v>
      </c>
      <c r="L5" s="68"/>
      <c r="M5" s="69"/>
    </row>
    <row r="6" spans="1:16">
      <c r="A6" s="68">
        <v>5697</v>
      </c>
      <c r="B6" s="147" t="s">
        <v>2201</v>
      </c>
      <c r="C6" s="147" t="s">
        <v>2036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105774.32</v>
      </c>
      <c r="H6" s="147">
        <f>IF(B6="","",IF(LEFT(D6,7)="Demanda",G6,G6/1000))</f>
        <v>105774.32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2201</v>
      </c>
      <c r="C7" s="147" t="s">
        <v>2036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91753.2</v>
      </c>
      <c r="H7" s="147">
        <f t="shared" ref="H7:H30" si="3">IF(B7="","",IF(LEFT(D7,7)="Demanda",G7,G7/1000))</f>
        <v>91753.2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2201</v>
      </c>
      <c r="C8" s="147" t="s">
        <v>2036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39656956</v>
      </c>
      <c r="H8" s="147">
        <f t="shared" si="3"/>
        <v>39656.955999999998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2201</v>
      </c>
      <c r="C9" s="147" t="s">
        <v>2036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3997384</v>
      </c>
      <c r="H9" s="147">
        <f t="shared" si="3"/>
        <v>3997.384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1234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1235</v>
      </c>
      <c r="C36" s="287" t="s">
        <v>1236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891</v>
      </c>
      <c r="C37" s="287" t="s">
        <v>1236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1237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1237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E4" zoomScale="115" zoomScaleNormal="115" workbookViewId="0">
      <selection activeCell="K15" sqref="K15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741</v>
      </c>
      <c r="C1" s="1226"/>
      <c r="D1" s="1226"/>
      <c r="E1" s="1226"/>
      <c r="F1" s="933"/>
      <c r="G1" s="933"/>
      <c r="H1" s="1129" t="s">
        <v>871</v>
      </c>
      <c r="I1" s="1130">
        <f ca="1">LnkTXTIRTEco</f>
        <v>0.1694</v>
      </c>
      <c r="J1" s="193"/>
      <c r="K1" s="194"/>
    </row>
    <row r="2" spans="1:15" s="195" customFormat="1" ht="27" customHeight="1">
      <c r="B2" s="136" t="str">
        <f>CAPA!C9</f>
        <v>Cejama</v>
      </c>
      <c r="C2" s="70"/>
      <c r="D2" s="70"/>
      <c r="E2" s="70"/>
      <c r="F2" s="70"/>
      <c r="G2" s="70"/>
      <c r="H2" s="120" t="s">
        <v>875</v>
      </c>
      <c r="I2" s="121">
        <f ca="1">LnkTXTIRTTotal</f>
        <v>1.52E-2</v>
      </c>
    </row>
    <row r="3" spans="1:15">
      <c r="B3" s="936" t="s">
        <v>1238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1" t="s">
        <v>72</v>
      </c>
      <c r="F4" s="1231" t="s">
        <v>1239</v>
      </c>
      <c r="H4" s="72"/>
      <c r="I4" s="72"/>
    </row>
    <row r="5" spans="1:15">
      <c r="B5" s="1231" t="s">
        <v>72</v>
      </c>
      <c r="C5" s="1231" t="s">
        <v>37</v>
      </c>
      <c r="E5" s="68" t="s">
        <v>40</v>
      </c>
      <c r="F5" s="115">
        <f>CAPA!D42</f>
        <v>34929.775458793898</v>
      </c>
      <c r="H5" s="1831" t="s">
        <v>1240</v>
      </c>
      <c r="I5" s="1831"/>
      <c r="K5" s="1831" t="s">
        <v>1241</v>
      </c>
      <c r="L5" s="1831"/>
      <c r="N5" s="1831" t="s">
        <v>1242</v>
      </c>
      <c r="O5" s="1831"/>
    </row>
    <row r="6" spans="1:15">
      <c r="B6" s="68" t="s">
        <v>40</v>
      </c>
      <c r="C6" s="80">
        <f ca="1">L14</f>
        <v>46023.713893769425</v>
      </c>
      <c r="E6" s="68" t="s">
        <v>41</v>
      </c>
      <c r="F6" s="115">
        <f>CAPA!D43</f>
        <v>2143989.9657600001</v>
      </c>
      <c r="H6" s="199" t="s">
        <v>1243</v>
      </c>
      <c r="I6" s="200">
        <f ca="1">FornecimentoE+LivreE-Calc_Mercado!C16</f>
        <v>40865.323999999993</v>
      </c>
      <c r="K6" s="505" t="s">
        <v>743</v>
      </c>
      <c r="L6" s="411">
        <f ca="1">LnkTXTER</f>
        <v>43268.810156217063</v>
      </c>
      <c r="N6" s="201" t="s">
        <v>1244</v>
      </c>
      <c r="O6" s="395">
        <v>1E-14</v>
      </c>
    </row>
    <row r="7" spans="1:15" ht="13.5" customHeight="1">
      <c r="B7" s="68" t="s">
        <v>41</v>
      </c>
      <c r="C7" s="80">
        <f ca="1">I22</f>
        <v>2729931.1893600002</v>
      </c>
      <c r="D7" s="196"/>
      <c r="E7" s="68" t="s">
        <v>112</v>
      </c>
      <c r="F7" s="115">
        <f>CAPA!D44</f>
        <v>0</v>
      </c>
      <c r="H7" s="1276" t="s">
        <v>1245</v>
      </c>
      <c r="I7" s="1277">
        <v>14.13</v>
      </c>
      <c r="K7" s="505" t="s">
        <v>1086</v>
      </c>
      <c r="L7" s="411">
        <f ca="1">Energia!M7</f>
        <v>0</v>
      </c>
      <c r="N7" s="201" t="s">
        <v>1246</v>
      </c>
      <c r="O7" s="202">
        <f ca="1">SUM(C12+C6+C9+C10+C8)</f>
        <v>1813928.5520137693</v>
      </c>
    </row>
    <row r="8" spans="1:15">
      <c r="B8" s="68" t="s">
        <v>112</v>
      </c>
      <c r="C8" s="80">
        <v>0</v>
      </c>
      <c r="D8" s="196"/>
      <c r="E8" s="68" t="s">
        <v>766</v>
      </c>
      <c r="F8" s="115">
        <f>CAPA!D45</f>
        <v>167658.554641667</v>
      </c>
      <c r="K8" s="505" t="s">
        <v>1089</v>
      </c>
      <c r="L8" s="411">
        <f ca="1">LnkTXTPerdas</f>
        <v>1964.7201562170678</v>
      </c>
      <c r="N8" s="201" t="s">
        <v>715</v>
      </c>
      <c r="O8" s="264">
        <f>Resultado!D24</f>
        <v>4210458.682</v>
      </c>
    </row>
    <row r="9" spans="1:15">
      <c r="B9" s="68" t="s">
        <v>1247</v>
      </c>
      <c r="C9" s="809">
        <f>IFERROR(VLOOKUP("ESS/EER",TabEncargosBancoConsolidados[],2,FALSE),0)</f>
        <v>1190477.8099999998</v>
      </c>
      <c r="D9" s="69"/>
      <c r="E9" s="68" t="s">
        <v>47</v>
      </c>
      <c r="F9" s="115">
        <f>CAPA!D46</f>
        <v>356127.26559999998</v>
      </c>
      <c r="H9" s="1831" t="s">
        <v>1248</v>
      </c>
      <c r="I9" s="1831"/>
      <c r="K9" s="505" t="s">
        <v>1249</v>
      </c>
      <c r="L9" s="411">
        <f ca="1">SUM(L6:L7,-L8)</f>
        <v>41304.089999999997</v>
      </c>
      <c r="N9" s="201" t="s">
        <v>108</v>
      </c>
      <c r="O9" s="263">
        <f ca="1">Resultado!D33</f>
        <v>6967276.8285375824</v>
      </c>
    </row>
    <row r="10" spans="1:15">
      <c r="B10" s="68" t="s">
        <v>47</v>
      </c>
      <c r="C10" s="80">
        <f ca="1">IFERROR(Encargos!I7*I6,0)</f>
        <v>577427.02811999992</v>
      </c>
      <c r="D10" s="196"/>
      <c r="E10" s="68" t="s">
        <v>49</v>
      </c>
      <c r="F10" s="115">
        <f>CAPA!D48</f>
        <v>0</v>
      </c>
      <c r="H10" s="1278" t="s">
        <v>1250</v>
      </c>
      <c r="I10" s="1279">
        <f ca="1">FornecimentoE_A1+Calc_Mercado!C10+Calc_Mercado!C11+Calc_Mercado!C114+Calc_Mercado!C115</f>
        <v>0</v>
      </c>
      <c r="K10" s="505" t="s">
        <v>1251</v>
      </c>
      <c r="L10" s="411">
        <f ca="1">SUM(L6:L7)</f>
        <v>43268.810156217063</v>
      </c>
      <c r="N10" s="201" t="s">
        <v>1252</v>
      </c>
      <c r="O10" s="202">
        <f>Resultado!D39</f>
        <v>10281408.04154011</v>
      </c>
    </row>
    <row r="11" spans="1:15">
      <c r="B11" s="68" t="s">
        <v>1253</v>
      </c>
      <c r="C11" s="80">
        <v>1E-4</v>
      </c>
      <c r="D11" s="196"/>
      <c r="E11" s="785" t="s">
        <v>2035</v>
      </c>
      <c r="F11" s="1151">
        <f>CAPA!D47</f>
        <v>0</v>
      </c>
      <c r="H11" s="199" t="s">
        <v>1254</v>
      </c>
      <c r="I11" s="139">
        <f ca="1">Calc_Mercado!C12+Calc_Mercado!C13+Calc_Mercado!C14+Calc_Mercado!C116+Calc_Mercado!C117</f>
        <v>24984.675999999999</v>
      </c>
      <c r="K11" s="505" t="s">
        <v>1255</v>
      </c>
      <c r="L11" s="411">
        <f>BD!C32</f>
        <v>0.85299999999999998</v>
      </c>
      <c r="N11" s="201" t="s">
        <v>1256</v>
      </c>
      <c r="O11" s="203">
        <f ca="1">IF(O6=0,0,O6*(SUM(O7:O10)-Q7))</f>
        <v>2.3273072104091464E-7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1257</v>
      </c>
      <c r="I12" s="139">
        <f ca="1">FornecimentoE_BT-Calc_Mercado!C16+Calc_Mercado!C119+Calc_Mercado!C118</f>
        <v>15880.647999999999</v>
      </c>
      <c r="K12" s="505" t="s">
        <v>1258</v>
      </c>
      <c r="L12" s="45">
        <v>4.0000000000000001E-3</v>
      </c>
      <c r="N12" s="201" t="s">
        <v>1259</v>
      </c>
      <c r="O12" s="203">
        <f ca="1">Financeiros!D7</f>
        <v>-3429758.0224861898</v>
      </c>
    </row>
    <row r="13" spans="1:15">
      <c r="B13" s="1280" t="s">
        <v>767</v>
      </c>
      <c r="C13" s="1281">
        <f ca="1">SUM(C6:C12)</f>
        <v>4543859.7414737688</v>
      </c>
      <c r="D13" s="196"/>
      <c r="E13" s="1231" t="s">
        <v>72</v>
      </c>
      <c r="F13" s="1231" t="s">
        <v>1239</v>
      </c>
      <c r="H13" s="1282" t="s">
        <v>1260</v>
      </c>
      <c r="I13" s="1283">
        <v>23.38</v>
      </c>
      <c r="K13" s="1284" t="s">
        <v>1261</v>
      </c>
      <c r="L13" s="1285">
        <f ca="1">LnkTXTIParcelaBcomSub+Energia!F19</f>
        <v>10281408.04154011</v>
      </c>
      <c r="N13" s="1286" t="s">
        <v>1262</v>
      </c>
      <c r="O13" s="1287">
        <f ca="1">O12*O6+O11</f>
        <v>1.9843314081605274E-7</v>
      </c>
    </row>
    <row r="14" spans="1:15">
      <c r="E14" s="68" t="s">
        <v>40</v>
      </c>
      <c r="F14" s="1288">
        <f>BD!C37</f>
        <v>39346.087773612468</v>
      </c>
      <c r="H14" s="257" t="s">
        <v>1263</v>
      </c>
      <c r="I14" s="816">
        <v>31.67</v>
      </c>
      <c r="K14" s="1289" t="s">
        <v>40</v>
      </c>
      <c r="L14" s="1290">
        <f ca="1">L12*1/L11*L9/L10*L13</f>
        <v>46023.713893769425</v>
      </c>
    </row>
    <row r="15" spans="1:15">
      <c r="E15" s="68" t="s">
        <v>41</v>
      </c>
      <c r="F15" s="80">
        <f>BD!C35</f>
        <v>1975007.0801999997</v>
      </c>
      <c r="H15" s="1291" t="s">
        <v>1264</v>
      </c>
      <c r="I15" s="1292">
        <v>37.700000000000003</v>
      </c>
    </row>
    <row r="16" spans="1:15">
      <c r="E16" s="68" t="s">
        <v>112</v>
      </c>
      <c r="F16" s="80">
        <v>0</v>
      </c>
      <c r="H16" s="1185" t="s">
        <v>1265</v>
      </c>
      <c r="I16" s="1283">
        <v>55.4</v>
      </c>
      <c r="K16" s="1831" t="s">
        <v>766</v>
      </c>
      <c r="L16" s="1831"/>
    </row>
    <row r="17" spans="2:14">
      <c r="E17" s="68" t="s">
        <v>766</v>
      </c>
      <c r="F17" s="80">
        <v>0</v>
      </c>
      <c r="H17" s="68" t="s">
        <v>1266</v>
      </c>
      <c r="I17" s="816">
        <v>75.06</v>
      </c>
      <c r="K17" s="1278" t="s">
        <v>2053</v>
      </c>
      <c r="L17" s="1279">
        <f>IFERROR(VLOOKUP("EER",TabEncargosBancoConsolidados[],2,FALSE),0)</f>
        <v>1172337.4099999999</v>
      </c>
      <c r="M17" s="68" t="s">
        <v>2396</v>
      </c>
    </row>
    <row r="18" spans="2:14">
      <c r="C18" s="107"/>
      <c r="D18" s="107"/>
      <c r="E18" s="68" t="s">
        <v>47</v>
      </c>
      <c r="F18" s="80">
        <f>BD!C36</f>
        <v>272522.88217</v>
      </c>
      <c r="G18" s="107"/>
      <c r="H18" s="785" t="s">
        <v>1267</v>
      </c>
      <c r="I18" s="1292">
        <v>89.35</v>
      </c>
      <c r="K18" s="199" t="s">
        <v>2056</v>
      </c>
      <c r="L18" s="139">
        <f>C9-L17</f>
        <v>18140.399999999907</v>
      </c>
    </row>
    <row r="19" spans="2:14">
      <c r="C19" s="107"/>
      <c r="D19" s="107"/>
      <c r="E19" s="785" t="s">
        <v>49</v>
      </c>
      <c r="F19" s="1293">
        <v>0</v>
      </c>
      <c r="G19" s="107"/>
      <c r="H19" s="68" t="s">
        <v>1268</v>
      </c>
      <c r="I19" s="69">
        <f ca="1">IF(CAPA!C10="S/SE/CO",Encargos!I10*Encargos!I16+Encargos!I11*Encargos!I17+Encargos!I12*Encargos!I18,Encargos!I10*Encargos!I13+Encargos!I11*Encargos!I14+Encargos!I12*Encargos!I15)</f>
        <v>3294285.67936</v>
      </c>
      <c r="K19" s="1231" t="s">
        <v>767</v>
      </c>
      <c r="L19" s="1453">
        <f>SUM(L17:L18)</f>
        <v>1190477.8099999998</v>
      </c>
    </row>
    <row r="20" spans="2:14">
      <c r="C20" s="107"/>
      <c r="D20" s="107"/>
      <c r="F20" s="80"/>
      <c r="G20" s="107"/>
      <c r="H20" s="1294" t="s">
        <v>1269</v>
      </c>
      <c r="I20" s="1295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2054</v>
      </c>
      <c r="I21" s="69">
        <f>IFERROR(VLOOKUP("CDE Eletrobras",TabEncargosBancoConsolidados[],2,FALSE),0)</f>
        <v>-564354.49</v>
      </c>
    </row>
    <row r="22" spans="2:14">
      <c r="C22" s="107"/>
      <c r="D22" s="107"/>
      <c r="F22" s="80"/>
      <c r="G22" s="107"/>
      <c r="H22" s="1231" t="s">
        <v>2057</v>
      </c>
      <c r="I22" s="1453">
        <f ca="1">I19+I20+I21</f>
        <v>2729931.1893600002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1270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1271</v>
      </c>
      <c r="E29" s="196"/>
      <c r="F29" s="196"/>
      <c r="G29" s="196"/>
      <c r="L29" s="191"/>
      <c r="M29" s="192"/>
    </row>
    <row r="30" spans="2:14" ht="16.5" customHeight="1">
      <c r="C30" s="1231" t="s">
        <v>2081</v>
      </c>
      <c r="D30" s="1231" t="s">
        <v>46</v>
      </c>
      <c r="E30" s="1231" t="s">
        <v>40</v>
      </c>
      <c r="F30" s="1231" t="s">
        <v>41</v>
      </c>
      <c r="G30" s="1231" t="s">
        <v>47</v>
      </c>
      <c r="H30" s="1459" t="s">
        <v>2082</v>
      </c>
      <c r="I30" s="1459" t="s">
        <v>2090</v>
      </c>
      <c r="J30" s="1231" t="s">
        <v>1272</v>
      </c>
      <c r="L30" s="1830" t="s">
        <v>1273</v>
      </c>
      <c r="M30" s="1830"/>
      <c r="N30" s="268"/>
    </row>
    <row r="31" spans="2:14">
      <c r="B31" s="267">
        <f>Indexador!B68</f>
        <v>44440</v>
      </c>
      <c r="C31" s="1142">
        <f ca="1">IFERROR(IF(CAPA!$C$113="Não",C47-C62,IF(Indexador!$B68&lt;CAPA!$C$114,0,C47-C62)),0)</f>
        <v>0</v>
      </c>
      <c r="D31" s="1142">
        <f ca="1">IF(CAPA!$C$113="Não",D47-D62,IF(Indexador!$B68&lt;CAPA!$C$114,0,D47-D62))</f>
        <v>1691.0851416020068</v>
      </c>
      <c r="E31" s="1142">
        <f ca="1">IF(CAPA!$C$113="Não",E47-E62,IF(Indexador!$B68&lt;CAPA!$C$114,0,E47-E62))</f>
        <v>425.23150298117935</v>
      </c>
      <c r="F31" s="1142">
        <f ca="1">IF(CAPA!$C$113="Não",F47-F62,IF(Indexador!$B68&lt;CAPA!$C$114,0,F47-F62))</f>
        <v>22944.205096793739</v>
      </c>
      <c r="G31" s="1142">
        <f ca="1">IF(CAPA!$C$113="Não",G47-G62,IF(Indexador!$B68&lt;CAPA!$C$114,0,G47-G62))</f>
        <v>3612.3474298546134</v>
      </c>
      <c r="H31" s="1142">
        <f ca="1">IF(CAPA!$C$113="Não",H47-H62,IF(Indexador!$B68&lt;CAPA!$C$114,0,H47-H62))</f>
        <v>0</v>
      </c>
      <c r="I31" s="1142">
        <f ca="1">IF(CAPA!$C$113="Não",I47-I62,IF(Indexador!$B68&lt;CAPA!$C$114,0,I47-I62))</f>
        <v>0</v>
      </c>
      <c r="J31" s="1142">
        <f ca="1">IF(CAPA!$C$113="Não",J47-J62,IF(Indexador!$B68&lt;CAPA!$C$114,0,J47-J62))</f>
        <v>28672.869171231549</v>
      </c>
      <c r="L31" s="68" t="s">
        <v>40</v>
      </c>
      <c r="M31" s="115">
        <f ca="1">Indexador!H80</f>
        <v>-853.90027895057767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1480.7810163340837</v>
      </c>
      <c r="E32" s="115">
        <f ca="1">IF(CAPA!$C$113="Não",E48-E63,IF(Indexador!$B69&lt;CAPA!$C$114,0,E48-E63))</f>
        <v>369.89643060073513</v>
      </c>
      <c r="F32" s="115">
        <f ca="1">IF(CAPA!$C$113="Não",F48-F63,IF(Indexador!$B69&lt;CAPA!$C$114,0,F48-F63))</f>
        <v>20261.234671816521</v>
      </c>
      <c r="G32" s="115">
        <f ca="1">IF(CAPA!$C$113="Não",G48-G63,IF(Indexador!$B69&lt;CAPA!$C$114,0,G48-G63))</f>
        <v>3195.6171119301325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25307.52923068151</v>
      </c>
      <c r="L32" s="68" t="s">
        <v>41</v>
      </c>
      <c r="M32" s="115">
        <f ca="1">Indexador!J80+Indexador!L80</f>
        <v>-120209.74283909067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651.96309713777009</v>
      </c>
      <c r="E33" s="115">
        <f ca="1">IF(CAPA!$C$113="Não",E49-E64,IF(Indexador!$B70&lt;CAPA!$C$114,0,E49-E64))</f>
        <v>167.87504645380432</v>
      </c>
      <c r="F33" s="115">
        <f ca="1">IF(CAPA!$C$113="Não",F49-F64,IF(Indexador!$B70&lt;CAPA!$C$114,0,F49-F64))</f>
        <v>9091.5795318615565</v>
      </c>
      <c r="G33" s="115">
        <f ca="1">IF(CAPA!$C$113="Não",G49-G64,IF(Indexador!$B70&lt;CAPA!$C$114,0,G49-G64))</f>
        <v>1420.7595469140033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11332.177222367172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16.526301030347895</v>
      </c>
      <c r="E34" s="115">
        <f ca="1">IF(CAPA!$C$113="Não",E50-E65,IF(Indexador!$B71&lt;CAPA!$C$114,0,E50-E65))</f>
        <v>42.823176774143576</v>
      </c>
      <c r="F34" s="115">
        <f ca="1">IF(CAPA!$C$113="Não",F50-F65,IF(Indexador!$B71&lt;CAPA!$C$114,0,F50-F65))</f>
        <v>1028.6800368322583</v>
      </c>
      <c r="G34" s="115">
        <f ca="1">IF(CAPA!$C$113="Não",G50-G65,IF(Indexador!$B71&lt;CAPA!$C$114,0,G50-G65))</f>
        <v>62.28256833481646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1150.3120829715917</v>
      </c>
      <c r="L34" s="68" t="s">
        <v>46</v>
      </c>
      <c r="M34" s="115">
        <f ca="1">Indexador!F80</f>
        <v>-11974.966841996687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-704.26786081581849</v>
      </c>
      <c r="E35" s="115">
        <f ca="1">IF(CAPA!$C$113="Não",E51-E66,IF(Indexador!$B72&lt;CAPA!$C$114,0,E51-E66))</f>
        <v>-86.594674755617689</v>
      </c>
      <c r="F35" s="115">
        <f ca="1">IF(CAPA!$C$113="Não",F51-F66,IF(Indexador!$B72&lt;CAPA!$C$114,0,F51-F66))</f>
        <v>-7704.3986932904809</v>
      </c>
      <c r="G35" s="115">
        <f ca="1">IF(CAPA!$C$113="Não",G51-G66,IF(Indexador!$B72&lt;CAPA!$C$114,0,G51-G66))</f>
        <v>-1446.1655021366932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-9941.426730998588</v>
      </c>
      <c r="L35" s="68" t="s">
        <v>47</v>
      </c>
      <c r="M35" s="115">
        <f ca="1">Indexador!N80</f>
        <v>-24479.030390304055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-2941.7817686141243</v>
      </c>
      <c r="E36" s="115">
        <f ca="1">IF(CAPA!$C$113="Não",E52-E67,IF(Indexador!$B73&lt;CAPA!$C$114,0,E52-E67))</f>
        <v>-556.65076157763451</v>
      </c>
      <c r="F36" s="115">
        <f ca="1">IF(CAPA!$C$113="Não",F52-F67,IF(Indexador!$B73&lt;CAPA!$C$114,0,F52-F67))</f>
        <v>-36113.428519798152</v>
      </c>
      <c r="G36" s="115">
        <f ca="1">IF(CAPA!$C$113="Não",G52-G67,IF(Indexador!$B73&lt;CAPA!$C$114,0,G52-G67))</f>
        <v>-6157.6017908746871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-45769.462840864609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-5005.1212496547705</v>
      </c>
      <c r="E37" s="115">
        <f ca="1">IF(CAPA!$C$113="Não",E53-E68,IF(Indexador!$B74&lt;CAPA!$C$114,0,E53-E68))</f>
        <v>-753.10462437388833</v>
      </c>
      <c r="F37" s="115">
        <f ca="1">IF(CAPA!$C$113="Não",F53-F68,IF(Indexador!$B74&lt;CAPA!$C$114,0,F53-F68))</f>
        <v>-58936.883687233611</v>
      </c>
      <c r="G37" s="115">
        <f ca="1">IF(CAPA!$C$113="Não",G53-G68,IF(Indexador!$B74&lt;CAPA!$C$114,0,G53-G68))</f>
        <v>-10577.468212774766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-75272.577774037025</v>
      </c>
      <c r="L37" s="785" t="s">
        <v>48</v>
      </c>
      <c r="M37" s="1182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-2959.9880817486192</v>
      </c>
      <c r="E38" s="115">
        <f ca="1">IF(CAPA!$C$113="Não",E54-E69,IF(Indexador!$B75&lt;CAPA!$C$114,0,E54-E69))</f>
        <v>-403.98878611248938</v>
      </c>
      <c r="F38" s="115">
        <f ca="1">IF(CAPA!$C$113="Não",F54-F69,IF(Indexador!$B75&lt;CAPA!$C$114,0,F54-F69))</f>
        <v>-33784.833667684812</v>
      </c>
      <c r="G38" s="115">
        <f ca="1">IF(CAPA!$C$113="Não",G54-G69,IF(Indexador!$B75&lt;CAPA!$C$114,0,G54-G69))</f>
        <v>-6194.2763998347509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-43343.086935380648</v>
      </c>
      <c r="L38" s="71" t="s">
        <v>758</v>
      </c>
      <c r="M38" s="269">
        <f ca="1">SUM(M31:M36)</f>
        <v>-157517.64035034197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-1875.538542430877</v>
      </c>
      <c r="E39" s="115">
        <f ca="1">IF(CAPA!$C$113="Não",E55-E70,IF(Indexador!$B76&lt;CAPA!$C$114,0,E55-E70))</f>
        <v>-137.66442310313232</v>
      </c>
      <c r="F39" s="115">
        <f ca="1">IF(CAPA!$C$113="Não",F55-F70,IF(Indexador!$B76&lt;CAPA!$C$114,0,F55-F70))</f>
        <v>-19245.622229143075</v>
      </c>
      <c r="G39" s="115">
        <f ca="1">IF(CAPA!$C$113="Não",G55-G70,IF(Indexador!$B76&lt;CAPA!$C$114,0,G55-G70))</f>
        <v>-3888.6845474574075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-25147.509742134484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-994.60925228457199</v>
      </c>
      <c r="E40" s="115">
        <f ca="1">IF(CAPA!$C$113="Não",E56-E71,IF(Indexador!$B77&lt;CAPA!$C$114,0,E56-E71))</f>
        <v>-27.088375164468289</v>
      </c>
      <c r="F40" s="115">
        <f ca="1">IF(CAPA!$C$113="Não",F56-F71,IF(Indexador!$B77&lt;CAPA!$C$114,0,F56-F71))</f>
        <v>-8954.8132564433035</v>
      </c>
      <c r="G40" s="115">
        <f ca="1">IF(CAPA!$C$113="Não",G56-G71,IF(Indexador!$B77&lt;CAPA!$C$114,0,G56-G71))</f>
        <v>-1984.4145327430306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-11960.925416635349</v>
      </c>
      <c r="L40" s="1830" t="s">
        <v>2089</v>
      </c>
      <c r="M40" s="1830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-663.45487057350147</v>
      </c>
      <c r="E41" s="115">
        <f ca="1">IF(CAPA!$C$113="Não",E57-E72,IF(Indexador!$B78&lt;CAPA!$C$114,0,E57-E72))</f>
        <v>39.733632591462992</v>
      </c>
      <c r="F41" s="115">
        <f ca="1">IF(CAPA!$C$113="Não",F57-F72,IF(Indexador!$B78&lt;CAPA!$C$114,0,F57-F72))</f>
        <v>-4623.6011873588723</v>
      </c>
      <c r="G41" s="115">
        <f ca="1">IF(CAPA!$C$113="Não",G57-G72,IF(Indexador!$B78&lt;CAPA!$C$114,0,G57-G72))</f>
        <v>-1260.6331839821833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-6507.9556093230785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1">
        <f ca="1">IFERROR(IF(CAPA!$C$113="Não",C58-C73,IF(Indexador!$B79&lt;CAPA!$C$114,0,C58-C73)),0)</f>
        <v>0</v>
      </c>
      <c r="D42" s="1151">
        <f ca="1">IF(CAPA!$C$113="Não",D58-D73,IF(Indexador!$B79&lt;CAPA!$C$114,0,D58-D73))</f>
        <v>-663.45487057350147</v>
      </c>
      <c r="E42" s="1151">
        <f ca="1">IF(CAPA!$C$113="Não",E58-E73,IF(Indexador!$B79&lt;CAPA!$C$114,0,E58-E73))</f>
        <v>39.733632591462992</v>
      </c>
      <c r="F42" s="1151">
        <f ca="1">IF(CAPA!$C$113="Não",F58-F73,IF(Indexador!$B79&lt;CAPA!$C$114,0,F58-F73))</f>
        <v>-4623.6011873588723</v>
      </c>
      <c r="G42" s="1151">
        <f ca="1">IF(CAPA!$C$113="Não",G58-G73,IF(Indexador!$B79&lt;CAPA!$C$114,0,G58-G73))</f>
        <v>-1260.6331839821833</v>
      </c>
      <c r="H42" s="1151">
        <f ca="1">IF(CAPA!$C$113="Não",H58-H73,IF(Indexador!$B79&lt;CAPA!$C$114,0,H58-H73))</f>
        <v>0</v>
      </c>
      <c r="I42" s="1151">
        <f ca="1">IF(CAPA!$C$113="Não",I58-I73,IF(Indexador!$B79&lt;CAPA!$C$114,0,I58-I73))</f>
        <v>0</v>
      </c>
      <c r="J42" s="1151">
        <f ca="1">IF(CAPA!$C$113="Não",J58-J73,IF(Indexador!$B79&lt;CAPA!$C$114,0,J58-J73))</f>
        <v>-6507.9556093230785</v>
      </c>
      <c r="L42" s="785" t="str">
        <f>I30</f>
        <v>Crédito Pis Cofins</v>
      </c>
      <c r="M42" s="1182">
        <f ca="1">Indexador!R80</f>
        <v>0</v>
      </c>
      <c r="N42" s="80"/>
    </row>
    <row r="43" spans="2:14">
      <c r="L43" s="71" t="s">
        <v>767</v>
      </c>
      <c r="M43" s="269">
        <f ca="1">SUM(M41:M42)</f>
        <v>0</v>
      </c>
    </row>
    <row r="44" spans="2:14">
      <c r="K44" s="140"/>
    </row>
    <row r="45" spans="2:14">
      <c r="C45" s="196" t="s">
        <v>1239</v>
      </c>
      <c r="D45" s="196"/>
      <c r="E45" s="196"/>
      <c r="F45" s="196"/>
      <c r="K45" s="140"/>
    </row>
    <row r="46" spans="2:14" ht="28.5">
      <c r="C46" s="1231" t="s">
        <v>2081</v>
      </c>
      <c r="D46" s="1231" t="s">
        <v>46</v>
      </c>
      <c r="E46" s="1231" t="s">
        <v>40</v>
      </c>
      <c r="F46" s="1231" t="s">
        <v>41</v>
      </c>
      <c r="G46" s="1231" t="s">
        <v>47</v>
      </c>
      <c r="H46" s="1459" t="s">
        <v>2082</v>
      </c>
      <c r="I46" s="1459" t="s">
        <v>2086</v>
      </c>
      <c r="J46" s="1231" t="s">
        <v>1274</v>
      </c>
      <c r="K46" s="140"/>
    </row>
    <row r="47" spans="2:14">
      <c r="B47" s="267">
        <f>Indexador!B37</f>
        <v>44440</v>
      </c>
      <c r="C47" s="1446">
        <f>$F$11/12</f>
        <v>0</v>
      </c>
      <c r="D47" s="1296">
        <f>$F$8/12</f>
        <v>13971.546220138916</v>
      </c>
      <c r="E47" s="1142">
        <f t="shared" ref="E47:E58" si="0">$F$5/12</f>
        <v>2910.8146215661582</v>
      </c>
      <c r="F47" s="115">
        <f t="shared" ref="F47:F58" si="1">$F$6/12</f>
        <v>178665.83048</v>
      </c>
      <c r="G47" s="115">
        <f t="shared" ref="G47:G58" si="2">$F$9/12</f>
        <v>29677.272133333332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7">
        <f>SUM(C47:G47)</f>
        <v>225225.46345503844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13971.546220138916</v>
      </c>
      <c r="E48" s="115">
        <f t="shared" si="0"/>
        <v>2910.8146215661582</v>
      </c>
      <c r="F48" s="115">
        <f t="shared" si="1"/>
        <v>178665.83048</v>
      </c>
      <c r="G48" s="115">
        <f t="shared" si="2"/>
        <v>29677.272133333332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225225.46345503844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13971.546220138916</v>
      </c>
      <c r="E49" s="115">
        <f t="shared" si="0"/>
        <v>2910.8146215661582</v>
      </c>
      <c r="F49" s="115">
        <f t="shared" si="1"/>
        <v>178665.83048</v>
      </c>
      <c r="G49" s="115">
        <f t="shared" si="2"/>
        <v>29677.272133333332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225225.46345503844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13971.546220138916</v>
      </c>
      <c r="E50" s="115">
        <f t="shared" si="0"/>
        <v>2910.8146215661582</v>
      </c>
      <c r="F50" s="115">
        <f t="shared" si="1"/>
        <v>178665.83048</v>
      </c>
      <c r="G50" s="115">
        <f t="shared" si="2"/>
        <v>29677.272133333332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225225.46345503844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13971.546220138916</v>
      </c>
      <c r="E51" s="115">
        <f t="shared" si="0"/>
        <v>2910.8146215661582</v>
      </c>
      <c r="F51" s="115">
        <f t="shared" si="1"/>
        <v>178665.83048</v>
      </c>
      <c r="G51" s="115">
        <f t="shared" si="2"/>
        <v>29677.272133333332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225225.46345503844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13971.546220138916</v>
      </c>
      <c r="E52" s="115">
        <f t="shared" si="0"/>
        <v>2910.8146215661582</v>
      </c>
      <c r="F52" s="115">
        <f t="shared" si="1"/>
        <v>178665.83048</v>
      </c>
      <c r="G52" s="115">
        <f t="shared" si="2"/>
        <v>29677.272133333332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225225.46345503844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13971.546220138916</v>
      </c>
      <c r="E53" s="115">
        <f t="shared" si="0"/>
        <v>2910.8146215661582</v>
      </c>
      <c r="F53" s="115">
        <f t="shared" si="1"/>
        <v>178665.83048</v>
      </c>
      <c r="G53" s="115">
        <f t="shared" si="2"/>
        <v>29677.272133333332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225225.46345503844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13971.546220138916</v>
      </c>
      <c r="E54" s="115">
        <f t="shared" si="0"/>
        <v>2910.8146215661582</v>
      </c>
      <c r="F54" s="115">
        <f t="shared" si="1"/>
        <v>178665.83048</v>
      </c>
      <c r="G54" s="115">
        <f t="shared" si="2"/>
        <v>29677.272133333332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225225.46345503844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13971.546220138916</v>
      </c>
      <c r="E55" s="115">
        <f t="shared" si="0"/>
        <v>2910.8146215661582</v>
      </c>
      <c r="F55" s="115">
        <f t="shared" si="1"/>
        <v>178665.83048</v>
      </c>
      <c r="G55" s="115">
        <f t="shared" si="2"/>
        <v>29677.272133333332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225225.46345503844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13971.546220138916</v>
      </c>
      <c r="E56" s="115">
        <f t="shared" si="0"/>
        <v>2910.8146215661582</v>
      </c>
      <c r="F56" s="115">
        <f t="shared" si="1"/>
        <v>178665.83048</v>
      </c>
      <c r="G56" s="115">
        <f t="shared" si="2"/>
        <v>29677.272133333332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225225.46345503844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13971.546220138916</v>
      </c>
      <c r="E57" s="115">
        <f t="shared" si="0"/>
        <v>2910.8146215661582</v>
      </c>
      <c r="F57" s="115">
        <f t="shared" si="1"/>
        <v>178665.83048</v>
      </c>
      <c r="G57" s="115">
        <f t="shared" si="2"/>
        <v>29677.272133333332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225225.46345503844</v>
      </c>
    </row>
    <row r="58" spans="2:12">
      <c r="B58" s="267">
        <f>Indexador!B48</f>
        <v>44774</v>
      </c>
      <c r="C58" s="1151">
        <f t="shared" si="3"/>
        <v>0</v>
      </c>
      <c r="D58" s="1298">
        <f t="shared" si="4"/>
        <v>13971.546220138916</v>
      </c>
      <c r="E58" s="1151">
        <f t="shared" si="0"/>
        <v>2910.8146215661582</v>
      </c>
      <c r="F58" s="1151">
        <f t="shared" si="1"/>
        <v>178665.83048</v>
      </c>
      <c r="G58" s="1151">
        <f t="shared" si="2"/>
        <v>29677.272133333332</v>
      </c>
      <c r="H58" s="1151">
        <f>IFERROR((VLOOKUP("Parcela B",TabFinanCovid[],4,FALSE)/12),0)</f>
        <v>0</v>
      </c>
      <c r="I58" s="1151">
        <f>IFERROR(VLOOKUP("Créditos de Pis/Cofins",TabFinanNeutralidade[[#All],[Detalhe_Grupo_TARIFA]:[valor]],2,FALSE)/12,0)</f>
        <v>0</v>
      </c>
      <c r="J58" s="1299">
        <f t="shared" si="5"/>
        <v>225225.46345503844</v>
      </c>
    </row>
    <row r="60" spans="2:12">
      <c r="C60" s="68" t="s">
        <v>1275</v>
      </c>
      <c r="L60" s="196">
        <v>42491</v>
      </c>
    </row>
    <row r="61" spans="2:12" ht="28.5">
      <c r="C61" s="1447" t="s">
        <v>2081</v>
      </c>
      <c r="D61" s="1231" t="s">
        <v>46</v>
      </c>
      <c r="E61" s="1231" t="s">
        <v>40</v>
      </c>
      <c r="F61" s="1231" t="s">
        <v>41</v>
      </c>
      <c r="G61" s="1231" t="s">
        <v>47</v>
      </c>
      <c r="H61" s="1459" t="s">
        <v>2082</v>
      </c>
      <c r="I61" s="1459" t="s">
        <v>2084</v>
      </c>
      <c r="J61" s="1231" t="s">
        <v>1274</v>
      </c>
      <c r="L61" s="1231" t="s">
        <v>48</v>
      </c>
    </row>
    <row r="62" spans="2:12">
      <c r="B62" s="267">
        <f t="shared" ref="B62:B73" si="6">B47</f>
        <v>44440</v>
      </c>
      <c r="C62" s="1300">
        <f ca="1">Calc_Mercado!S63</f>
        <v>0</v>
      </c>
      <c r="D62" s="1300">
        <f ca="1">Calc_Mercado!F63</f>
        <v>12280.46107853691</v>
      </c>
      <c r="E62" s="1142">
        <f ca="1">Calc_Mercado!I63</f>
        <v>2485.5831185849788</v>
      </c>
      <c r="F62" s="1288">
        <f ca="1">Calc_Mercado!H63</f>
        <v>155721.62538320626</v>
      </c>
      <c r="G62" s="1288">
        <f ca="1">Calc_Mercado!G63</f>
        <v>26064.924703478719</v>
      </c>
      <c r="H62" s="1460">
        <f ca="1">IFERROR((VLOOKUP("Parcela B",TabFinanCovid[],4,FALSE)/VLOOKUP("Parcela B",TabFinanNeutralidade[],3,FALSE))*Calc_Mercado!T63,0)</f>
        <v>0</v>
      </c>
      <c r="I62" s="1460">
        <f ca="1">Calc_Mercado!U63</f>
        <v>0</v>
      </c>
      <c r="J62" s="1297">
        <f t="shared" ref="J62:J73" ca="1" si="7">SUM(C62:G62)</f>
        <v>196552.59428380689</v>
      </c>
      <c r="L62" s="1300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12490.765203804833</v>
      </c>
      <c r="E63" s="115">
        <f ca="1">Calc_Mercado!I64</f>
        <v>2540.918190965423</v>
      </c>
      <c r="F63" s="80">
        <f ca="1">Calc_Mercado!H64</f>
        <v>158404.59580818348</v>
      </c>
      <c r="G63" s="80">
        <f ca="1">Calc_Mercado!G64</f>
        <v>26481.655021403199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199917.93422435693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13319.583123001146</v>
      </c>
      <c r="E64" s="115">
        <f ca="1">Calc_Mercado!I65</f>
        <v>2742.9395751123539</v>
      </c>
      <c r="F64" s="80">
        <f ca="1">Calc_Mercado!H65</f>
        <v>169574.25094813845</v>
      </c>
      <c r="G64" s="80">
        <f ca="1">Calc_Mercado!G65</f>
        <v>28256.512586419329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213893.28623267126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13955.019919108569</v>
      </c>
      <c r="E65" s="115">
        <f ca="1">Calc_Mercado!I66</f>
        <v>2867.9914447920146</v>
      </c>
      <c r="F65" s="80">
        <f ca="1">Calc_Mercado!H66</f>
        <v>177637.15044316775</v>
      </c>
      <c r="G65" s="80">
        <f ca="1">Calc_Mercado!G66</f>
        <v>29614.989564998516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224075.15137206684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14675.814080954735</v>
      </c>
      <c r="E66" s="115">
        <f ca="1">Calc_Mercado!I67</f>
        <v>2997.4092963217759</v>
      </c>
      <c r="F66" s="80">
        <f ca="1">Calc_Mercado!H67</f>
        <v>186370.22917329049</v>
      </c>
      <c r="G66" s="80">
        <f ca="1">Calc_Mercado!G67</f>
        <v>31123.437635470025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235166.89018603702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16913.327988753041</v>
      </c>
      <c r="E67" s="115">
        <f ca="1">Calc_Mercado!I68</f>
        <v>3467.4653831437927</v>
      </c>
      <c r="F67" s="80">
        <f ca="1">Calc_Mercado!H68</f>
        <v>214779.25899979816</v>
      </c>
      <c r="G67" s="80">
        <f ca="1">Calc_Mercado!G68</f>
        <v>35834.873924208019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270994.92629590305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18976.667469793687</v>
      </c>
      <c r="E68" s="115">
        <f ca="1">Calc_Mercado!I69</f>
        <v>3663.9192459400465</v>
      </c>
      <c r="F68" s="80">
        <f ca="1">Calc_Mercado!H69</f>
        <v>237602.71416723361</v>
      </c>
      <c r="G68" s="80">
        <f ca="1">Calc_Mercado!G69</f>
        <v>40254.740346108098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300498.04122907546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16931.534301887536</v>
      </c>
      <c r="E69" s="115">
        <f ca="1">Calc_Mercado!I70</f>
        <v>3314.8034076786475</v>
      </c>
      <c r="F69" s="80">
        <f ca="1">Calc_Mercado!H70</f>
        <v>212450.66414768482</v>
      </c>
      <c r="G69" s="80">
        <f ca="1">Calc_Mercado!G70</f>
        <v>35871.548533168083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268568.55039041908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15847.084762569793</v>
      </c>
      <c r="E70" s="115">
        <f ca="1">Calc_Mercado!I71</f>
        <v>3048.4790446692905</v>
      </c>
      <c r="F70" s="80">
        <f ca="1">Calc_Mercado!H71</f>
        <v>197911.45270914308</v>
      </c>
      <c r="G70" s="80">
        <f ca="1">Calc_Mercado!G71</f>
        <v>33565.956680790739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250372.97319717292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14966.155472423488</v>
      </c>
      <c r="E71" s="115">
        <f ca="1">Calc_Mercado!I72</f>
        <v>2937.9029967306265</v>
      </c>
      <c r="F71" s="80">
        <f ca="1">Calc_Mercado!H72</f>
        <v>187620.64373644331</v>
      </c>
      <c r="G71" s="80">
        <f ca="1">Calc_Mercado!G72</f>
        <v>31661.686666076363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237186.38887167379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14635.001090712418</v>
      </c>
      <c r="E72" s="115">
        <f ca="1">Calc_Mercado!I73</f>
        <v>2871.0809889746952</v>
      </c>
      <c r="F72" s="80">
        <f ca="1">Calc_Mercado!H73</f>
        <v>183289.43166735888</v>
      </c>
      <c r="G72" s="80">
        <f ca="1">Calc_Mercado!G73</f>
        <v>30937.905317315515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231733.41906436151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1">
        <f ca="1">Calc_Mercado!S74</f>
        <v>0</v>
      </c>
      <c r="D73" s="1301">
        <f ca="1">Calc_Mercado!F74</f>
        <v>14635.001090712418</v>
      </c>
      <c r="E73" s="1151">
        <f ca="1">Calc_Mercado!I74</f>
        <v>2871.0809889746952</v>
      </c>
      <c r="F73" s="1293">
        <f ca="1">Calc_Mercado!H74</f>
        <v>183289.43166735888</v>
      </c>
      <c r="G73" s="1293">
        <f ca="1">Calc_Mercado!G74</f>
        <v>30937.905317315515</v>
      </c>
      <c r="H73" s="1293">
        <f ca="1">IFERROR((VLOOKUP("Parcela B",TabFinanCovid[],4,FALSE)/VLOOKUP("Parcela B",TabFinanNeutralidade[],3,FALSE))*Calc_Mercado!T74,0)</f>
        <v>0</v>
      </c>
      <c r="I73" s="1293">
        <f ca="1">Calc_Mercado!U74</f>
        <v>0</v>
      </c>
      <c r="J73" s="1299">
        <f t="shared" ca="1" si="7"/>
        <v>231733.41906436151</v>
      </c>
      <c r="L73" s="1301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B136" zoomScale="88" zoomScaleNormal="88" workbookViewId="0">
      <selection activeCell="AM146" sqref="AM146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727</v>
      </c>
      <c r="E2" s="298" t="s">
        <v>728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729</v>
      </c>
    </row>
    <row r="5" spans="2:49" ht="15" customHeight="1">
      <c r="B5" s="299" t="s">
        <v>730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731</v>
      </c>
      <c r="K6" s="353" t="s">
        <v>732</v>
      </c>
      <c r="L6" s="303"/>
      <c r="S6" s="353" t="s">
        <v>732</v>
      </c>
      <c r="T6" s="353"/>
      <c r="U6" s="353"/>
      <c r="V6" s="353"/>
      <c r="AC6" s="23" t="str">
        <f>IF(LnkTXTSuprid2="!vazio!","","s")</f>
        <v/>
      </c>
      <c r="AD6" s="23">
        <f>SMALL(N41:N42,1)</f>
        <v>321.14725538453285</v>
      </c>
      <c r="AE6" s="23">
        <f>SMALL(Q41:Q42,1)</f>
        <v>392.71840354808836</v>
      </c>
    </row>
    <row r="7" spans="2:49" ht="18.75" customHeight="1">
      <c r="B7" s="299" t="s">
        <v>733</v>
      </c>
      <c r="K7" s="1050" t="s">
        <v>734</v>
      </c>
      <c r="L7" s="1050" t="s">
        <v>735</v>
      </c>
      <c r="S7" s="1841" t="s">
        <v>736</v>
      </c>
      <c r="T7" s="1841"/>
      <c r="U7" s="1841"/>
      <c r="V7" s="296" t="s">
        <v>737</v>
      </c>
      <c r="W7" s="296" t="s">
        <v>738</v>
      </c>
      <c r="X7" s="60" t="s">
        <v>739</v>
      </c>
    </row>
    <row r="8" spans="2:49" ht="15" customHeight="1">
      <c r="B8" s="301" t="s">
        <v>740</v>
      </c>
      <c r="K8" s="353" t="s">
        <v>741</v>
      </c>
      <c r="L8" s="20">
        <f ca="1">Resultado!E14</f>
        <v>7.569410549986319E-2</v>
      </c>
      <c r="S8" s="47" t="s">
        <v>742</v>
      </c>
      <c r="T8" s="364">
        <f ca="1">U8/$U$15</f>
        <v>0.29921643827150929</v>
      </c>
      <c r="U8" s="56">
        <f>AU239</f>
        <v>10281408.04154011</v>
      </c>
      <c r="V8" s="61" t="s">
        <v>192</v>
      </c>
      <c r="W8" s="62">
        <f ca="1">T12</f>
        <v>0.24324314350786316</v>
      </c>
      <c r="X8" s="62">
        <f ca="1">W8/(1-$W$10)</f>
        <v>0.32142839727331973</v>
      </c>
    </row>
    <row r="9" spans="2:49" ht="15" customHeight="1">
      <c r="B9" s="301" t="s">
        <v>743</v>
      </c>
      <c r="K9" s="360" t="s">
        <v>715</v>
      </c>
      <c r="L9" s="361">
        <f ca="1">Resultado!E24</f>
        <v>4.3756070310727264E-2</v>
      </c>
      <c r="S9" s="47" t="s">
        <v>744</v>
      </c>
      <c r="T9" s="364">
        <f ca="1">U9/$U$15</f>
        <v>0.2027663670835449</v>
      </c>
      <c r="U9" s="56">
        <f ca="1">AU230</f>
        <v>6967276.8285375824</v>
      </c>
      <c r="V9" s="47" t="s">
        <v>745</v>
      </c>
      <c r="W9" s="57">
        <f ca="1">T13</f>
        <v>0</v>
      </c>
      <c r="X9" s="62">
        <f ca="1">W9/(1-$W$10)</f>
        <v>0</v>
      </c>
      <c r="AD9" s="413"/>
      <c r="AE9" s="413"/>
    </row>
    <row r="10" spans="2:49" ht="27.75" customHeight="1">
      <c r="B10" s="301" t="s">
        <v>746</v>
      </c>
      <c r="K10" s="353" t="s">
        <v>747</v>
      </c>
      <c r="L10" s="25">
        <f ca="1">Resultado!E33</f>
        <v>-7.5461586662277785E-2</v>
      </c>
      <c r="S10" s="47" t="s">
        <v>748</v>
      </c>
      <c r="T10" s="364">
        <f ca="1">U10/$U$15</f>
        <v>0.12253559485502873</v>
      </c>
      <c r="U10" s="56">
        <f>AU232</f>
        <v>4210458.682</v>
      </c>
      <c r="V10" s="1051" t="s">
        <v>749</v>
      </c>
      <c r="W10" s="1052">
        <f ca="1">SUM(W8:W9)</f>
        <v>0.24324314350786316</v>
      </c>
      <c r="X10" s="1052">
        <f ca="1">SUM(X8:X9)</f>
        <v>0.32142839727331973</v>
      </c>
      <c r="AE10" s="413"/>
    </row>
    <row r="11" spans="2:49" ht="15" customHeight="1">
      <c r="B11" s="299" t="s">
        <v>744</v>
      </c>
      <c r="K11" s="353" t="s">
        <v>750</v>
      </c>
      <c r="L11" s="25">
        <f ca="1">Resultado!E39</f>
        <v>0.12539926645513366</v>
      </c>
      <c r="S11" s="1053" t="s">
        <v>741</v>
      </c>
      <c r="T11" s="1054">
        <f ca="1">U11/$U$15</f>
        <v>0.13223845628205402</v>
      </c>
      <c r="U11" s="1055">
        <f ca="1">AU219</f>
        <v>4543859.741373769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751</v>
      </c>
      <c r="K12" s="23" t="s">
        <v>722</v>
      </c>
      <c r="L12" s="19">
        <f ca="1">linktxttotfin</f>
        <v>-0.1542</v>
      </c>
      <c r="S12" s="47" t="s">
        <v>192</v>
      </c>
      <c r="T12" s="57">
        <f ca="1">Calc_Mercado!J8</f>
        <v>0.24324314350786316</v>
      </c>
      <c r="U12" s="56">
        <f ca="1">T12*U15</f>
        <v>8358103.6729069566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722</v>
      </c>
      <c r="K13" s="23" t="s">
        <v>752</v>
      </c>
      <c r="L13" s="19">
        <f ca="1">LnkTXTERFIN</f>
        <v>0.11840000000000001</v>
      </c>
      <c r="S13" s="47" t="s">
        <v>753</v>
      </c>
      <c r="T13" s="58">
        <f ca="1">Calc_Mercado!J9</f>
        <v>0</v>
      </c>
      <c r="U13" s="56">
        <f ca="1">T13*U15</f>
        <v>0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754</v>
      </c>
      <c r="K14" s="353" t="s">
        <v>755</v>
      </c>
      <c r="L14" s="361">
        <f>LnkTXTEfeito</f>
        <v>0.13355369294285313</v>
      </c>
      <c r="S14" s="47" t="s">
        <v>756</v>
      </c>
      <c r="T14" s="364">
        <f ca="1">SUM(T12:T13)</f>
        <v>0.24324314350786316</v>
      </c>
      <c r="U14" s="56">
        <f ca="1">SUM(U12:U13)</f>
        <v>8358103.6729069566</v>
      </c>
      <c r="V14" s="56"/>
      <c r="AD14" s="23" t="s">
        <v>104</v>
      </c>
      <c r="AE14" s="23" t="s">
        <v>108</v>
      </c>
      <c r="AF14" s="23" t="s">
        <v>715</v>
      </c>
      <c r="AG14" s="23" t="s">
        <v>704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757</v>
      </c>
      <c r="S15" s="1051" t="s">
        <v>758</v>
      </c>
      <c r="T15" s="1056">
        <f ca="1">SUM(T8:T11)+T14</f>
        <v>1</v>
      </c>
      <c r="U15" s="1057">
        <f ca="1">SUM(U8:U11)/(1-T14)</f>
        <v>34361106.966358416</v>
      </c>
      <c r="V15" s="635"/>
      <c r="AC15" s="23" t="s">
        <v>759</v>
      </c>
      <c r="AD15" s="413">
        <f ca="1">Resultado!C39</f>
        <v>7492976.8781716749</v>
      </c>
      <c r="AE15" s="413">
        <f ca="1">Resultado!C33</f>
        <v>8645272.6082147211</v>
      </c>
      <c r="AF15" s="413">
        <f ca="1">Resultado!C24</f>
        <v>3237480.1830816967</v>
      </c>
      <c r="AG15" s="413">
        <f ca="1">Resultado!C14</f>
        <v>2860693.5744119063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760</v>
      </c>
      <c r="AC16" s="23" t="s">
        <v>761</v>
      </c>
      <c r="AD16" s="413">
        <f>Resultado!D39</f>
        <v>10281408.04154011</v>
      </c>
      <c r="AE16" s="413">
        <f ca="1">Resultado!D33</f>
        <v>6967276.8285375824</v>
      </c>
      <c r="AF16" s="413">
        <f>Resultado!D24</f>
        <v>4210458.682</v>
      </c>
      <c r="AG16" s="413">
        <f ca="1">Resultado!D14</f>
        <v>4543859.741373769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762</v>
      </c>
      <c r="S19" s="353" t="s">
        <v>732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9" t="s">
        <v>763</v>
      </c>
      <c r="T20" s="1839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742</v>
      </c>
      <c r="T21" s="55">
        <f ca="1">AX239</f>
        <v>0.39539309846295168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744</v>
      </c>
      <c r="T22" s="55">
        <f ca="1">AX230</f>
        <v>0.26794123547614229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748</v>
      </c>
      <c r="T23" s="55">
        <f ca="1">AX232</f>
        <v>0.16192201471821344</v>
      </c>
      <c r="Z23" s="30" t="s">
        <v>764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765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2.2206166787873224E-2</v>
      </c>
      <c r="AL26" s="353"/>
    </row>
    <row r="27" spans="2:46" ht="15" customHeight="1">
      <c r="S27" s="47" t="s">
        <v>41</v>
      </c>
      <c r="T27" s="55">
        <f ca="1">AX223</f>
        <v>0.1266886613897259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1.7699383942069466E-3</v>
      </c>
      <c r="AD28" s="47"/>
      <c r="AE28" s="392"/>
      <c r="AF28" s="56"/>
      <c r="AL28" s="353"/>
    </row>
    <row r="29" spans="2:46" ht="15" customHeight="1">
      <c r="S29" s="47" t="s">
        <v>766</v>
      </c>
      <c r="T29" s="55">
        <f ca="1">AX226</f>
        <v>4.5782319702270972E-2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8" t="s">
        <v>767</v>
      </c>
      <c r="T31" s="1059">
        <f ca="1">SUM(T21:T30)</f>
        <v>1.0217034349313845</v>
      </c>
    </row>
    <row r="36" spans="1:36" ht="15" customHeight="1">
      <c r="N36" s="634" t="s">
        <v>768</v>
      </c>
      <c r="O36" s="634"/>
      <c r="P36" s="1060" t="e">
        <f>VLOOKUP(LnkTXTSigla,Informacoes[],35,FALSE)</f>
        <v>#REF!</v>
      </c>
      <c r="Q36" s="1061">
        <f>DATE(2013,MONTH(DataRevRea),1)</f>
        <v>41518</v>
      </c>
    </row>
    <row r="37" spans="1:36" ht="15" customHeight="1">
      <c r="L37" s="353" t="s">
        <v>732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2"/>
      <c r="M38" s="1063">
        <f t="shared" ref="M38:V38" si="0">DATE(M37,MONTH(DataRevRea),1)</f>
        <v>41518</v>
      </c>
      <c r="N38" s="1063">
        <f t="shared" si="0"/>
        <v>41883</v>
      </c>
      <c r="O38" s="1063">
        <f t="shared" si="0"/>
        <v>42248</v>
      </c>
      <c r="P38" s="1063">
        <f t="shared" si="0"/>
        <v>42614</v>
      </c>
      <c r="Q38" s="1063">
        <f t="shared" si="0"/>
        <v>42979</v>
      </c>
      <c r="R38" s="1063">
        <f t="shared" si="0"/>
        <v>43344</v>
      </c>
      <c r="S38" s="1063">
        <f t="shared" si="0"/>
        <v>43709</v>
      </c>
      <c r="T38" s="1063">
        <f t="shared" si="0"/>
        <v>44075</v>
      </c>
      <c r="U38" s="1063">
        <f t="shared" si="0"/>
        <v>44440</v>
      </c>
      <c r="V38" s="1063">
        <f t="shared" si="0"/>
        <v>44805</v>
      </c>
      <c r="W38" s="1063" t="s">
        <v>702</v>
      </c>
    </row>
    <row r="39" spans="1:36" ht="15" customHeight="1">
      <c r="L39" s="65" t="str">
        <f>CAPA!C9</f>
        <v>Cejama</v>
      </c>
      <c r="M39" s="401">
        <f>SUMIF(TAbtarifasb1[[#All],[Sigla]],LnkTXTSigla,TAbtarifasb1[[#All],[2013]])</f>
        <v>301.51</v>
      </c>
      <c r="N39" s="401">
        <f>SUMIF(TAbtarifasb1[[#All],[Sigla]],LnkTXTSigla,TAbtarifasb1[[#All],[2014]])</f>
        <v>350.89</v>
      </c>
      <c r="O39" s="401">
        <f>SUMIF(TAbtarifasb1[[#All],[Sigla]],LnkTXTSigla,TAbtarifasb1[[#All],[2015]])</f>
        <v>436.4</v>
      </c>
      <c r="P39" s="411">
        <f>SUMIF(TAbtarifasb1[[#All],[Sigla]],LnkTXTSigla,TAbtarifasb1[[#All],[2016]])</f>
        <v>495.02000000000004</v>
      </c>
      <c r="Q39" s="411">
        <f>SUMIF(TAbtarifasb1[[#All],[Sigla]],LnkTXTSigla,TAbtarifasb1[[#All],[2017]])</f>
        <v>556.74</v>
      </c>
      <c r="R39" s="757">
        <f>SUMIF(TAbtarifasb1[[#All],[Sigla]],LnkTXTSigla,TAbtarifasb1[[#All],[2018]])</f>
        <v>563.41</v>
      </c>
      <c r="S39" s="757">
        <f>SUMIF(TAbtarifasb1[[#All],[Sigla]],LnkTXTSigla,TAbtarifasb1[[#All],[2019]])</f>
        <v>616.29</v>
      </c>
      <c r="T39" s="413">
        <f>SUMIF(TAbtarifasb1[[#All],[Sigla]],LnkTXTSigla,TAbtarifasb1[[#All],[2020]])</f>
        <v>657.39</v>
      </c>
      <c r="U39" s="413">
        <f>SUMIF(TAbtarifasb1[[#All],[Sigla]],LnkTXTSigla,TAbtarifasb1[[#All],[2021]])</f>
        <v>548.54000000000008</v>
      </c>
      <c r="V39" s="413">
        <f>Resultado!L6</f>
        <v>639.03</v>
      </c>
      <c r="W39" s="745">
        <f>V39/M39-1</f>
        <v>1.1194321913037708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v>573.02</v>
      </c>
      <c r="W40" s="745">
        <f>V40/M40-1</f>
        <v>0.9849660523763335</v>
      </c>
    </row>
    <row r="41" spans="1:36" ht="15" customHeight="1">
      <c r="L41" s="65" t="s">
        <v>769</v>
      </c>
      <c r="M41" s="402">
        <f>M39</f>
        <v>301.51</v>
      </c>
      <c r="N41" s="402">
        <f>VLOOKUP(DATE(YEAR(O38),MONTH(O38)-1,1),Índices!$B:$F,2,FALSE)/VLOOKUP(DATE(YEAR(Q36),MONTH(Q36)-1,1),Índices!$B:$F,2,FALSE)*M41</f>
        <v>340.13187680089015</v>
      </c>
      <c r="O41" s="402">
        <f>VLOOKUP(DATE(YEAR(O38),MONTH(O38)-1,1),Índices!$B:$F,2,FALSE)/VLOOKUP(DATE(YEAR(N38),MONTH(N38)-1,1),Índices!$B:$F,2,FALSE)*N41</f>
        <v>365.82287738845173</v>
      </c>
      <c r="P41" s="402">
        <f>VLOOKUP(DATE(YEAR(P38),MONTH(P38)-1,1),Índices!$B:$F,2,FALSE)/VLOOKUP(DATE(YEAR(O38),MONTH(O38)-1,1),Índices!$B:$F,2,FALSE)*O41</f>
        <v>407.85217733023103</v>
      </c>
      <c r="Q41" s="402">
        <f>VLOOKUP(DATE(YEAR(Q38),MONTH(Q38)-1,1),Índices!$B:$F,2,FALSE)/VLOOKUP(DATE(YEAR(P38),MONTH(P38)-1,1),Índices!$B:$F,2,FALSE)*P41</f>
        <v>400.87280024250424</v>
      </c>
      <c r="R41" s="363">
        <f>IF(R37=YEAR(CAPA!$C$114),'Tabelas e Gráficos'!R39,(VLOOKUP(DATE(YEAR(R38),MONTH(R38)-1,1),Índices!$B:$F,2,FALSE)/VLOOKUP(DATE(YEAR(Q38),MONTH(Q38)-1,1),Índices!$B:$F,2,FALSE)*Q41))</f>
        <v>436.51558755547495</v>
      </c>
      <c r="S41" s="363">
        <f>IF(S37=YEAR(CAPA!$C$114),'Tabelas e Gráficos'!S39,(VLOOKUP(DATE(YEAR(S38),MONTH(S38)-1,1),Índices!$B:$F,2,FALSE)/VLOOKUP(DATE(YEAR(R38),MONTH(R38)-1,1),Índices!$B:$F,2,FALSE)*R41))</f>
        <v>458.11812515876517</v>
      </c>
      <c r="T41" s="363">
        <f>IF(T37=YEAR(CAPA!$C$114),'Tabelas e Gráficos'!T39,(VLOOKUP(DATE(YEAR(T38),MONTH(T38)-1,1),Índices!$B:$F,2,FALSE)/VLOOKUP(DATE(YEAR(S38),MONTH(S38)-1,1),Índices!$B:$F,2,FALSE)*S41))</f>
        <v>517.7846761758758</v>
      </c>
      <c r="U41" s="402">
        <f>VLOOKUP(DATE(YEAR(U38),MONTH(U38)-1,1),Índices!$B:$F,2,FALSE)/VLOOKUP(DATE(YEAR(T38),MONTH(T38)-1,1),Índices!$B:$F,2,FALSE)*T41</f>
        <v>678.89512630941908</v>
      </c>
      <c r="V41" s="402">
        <f>VLOOKUP(DATE(YEAR(V38),MONTH(V38)-1,1),Índices!$B:$F,2,FALSE)/VLOOKUP(DATE(YEAR(U38),MONTH(U38)-1,1),Índices!$B:$F,2,FALSE)*U41</f>
        <v>737.1949163441127</v>
      </c>
      <c r="W41" s="745">
        <f>V41/M41-1</f>
        <v>1.4450098382942946</v>
      </c>
    </row>
    <row r="42" spans="1:36" ht="15" customHeight="1">
      <c r="L42" s="1064" t="s">
        <v>770</v>
      </c>
      <c r="M42" s="1066">
        <f>M39</f>
        <v>301.51</v>
      </c>
      <c r="N42" s="1066">
        <f>VLOOKUP(DATE(YEAR(N38),MONTH(N38)-1,1),Índices!$B:$F,3,FALSE)/VLOOKUP(DATE(YEAR(Q36),MONTH(Q36)-1,1),Índices!$B:$F,3,FALSE)*M42</f>
        <v>321.14725538453285</v>
      </c>
      <c r="O42" s="1066">
        <f>VLOOKUP(DATE(YEAR(O38),MONTH(O38)-1,1),Índices!$B:$F,3,FALSE)/VLOOKUP(DATE(YEAR(N38),MONTH(N38)-1,1),Índices!$B:$F,3,FALSE)*N42</f>
        <v>351.7380645204579</v>
      </c>
      <c r="P42" s="1066">
        <f>VLOOKUP(DATE(YEAR(P38),MONTH(P38)-1,1),Índices!$B:$F,3,FALSE)/VLOOKUP(DATE(YEAR(O38),MONTH(O38)-1,1),Índices!$B:$F,3,FALSE)*O42</f>
        <v>383.30478868476496</v>
      </c>
      <c r="Q42" s="1066">
        <f>VLOOKUP(DATE(YEAR(Q38),MONTH(Q38)-1,1),Índices!$B:$F,3,FALSE)/VLOOKUP(DATE(YEAR(P38),MONTH(P38)-1,1),Índices!$B:$F,3,FALSE)*P42</f>
        <v>392.71840354808836</v>
      </c>
      <c r="R42" s="1065">
        <f>IF(R37=YEAR(CAPA!$C$114),'Tabelas e Gráficos'!R39,(VLOOKUP(DATE(YEAR(R38),MONTH(R38)-1,1),Índices!$B:$F,3,FALSE)/VLOOKUP(DATE(YEAR(Q38),MONTH(Q38)-1,1),Índices!$B:$F,3,FALSE)*'Tabelas e Gráficos'!Q42))</f>
        <v>409.18514891504185</v>
      </c>
      <c r="S42" s="1065">
        <f>IF(S37=YEAR(CAPA!$C$114),'Tabelas e Gráficos'!S39,(VLOOKUP(DATE(YEAR(S38),MONTH(S38)-1,1),Índices!$B:$F,3,FALSE)/VLOOKUP(DATE(YEAR(R38),MONTH(R38)-1,1),Índices!$B:$F,3,FALSE)*'Tabelas e Gráficos'!R42))</f>
        <v>423.2145343603645</v>
      </c>
      <c r="T42" s="1065">
        <f>IF(T37=YEAR(CAPA!$C$114),'Tabelas e Gráficos'!T39,(VLOOKUP(DATE(YEAR(T38),MONTH(T38)-1,1),Índices!$B:$F,3,FALSE)/VLOOKUP(DATE(YEAR(S38),MONTH(S38)-1,1),Índices!$B:$F,3,FALSE)*'Tabelas e Gráficos'!S42))</f>
        <v>433.53447163810574</v>
      </c>
      <c r="U42" s="1066">
        <f>VLOOKUP(DATE(YEAR(U38),MONTH(U38)-1,1),Índices!$B:$F,3,FALSE)/VLOOKUP(DATE(YEAR(T38),MONTH(T38)-1,1),Índices!$B:$F,3,FALSE)*T42</f>
        <v>475.49962707497423</v>
      </c>
      <c r="V42" s="1066">
        <f>VLOOKUP(DATE(YEAR(V38),MONTH(V38)-1,1),Índices!$B:$F,3,FALSE)/VLOOKUP(DATE(YEAR(U38),MONTH(U38)-1,1),Índices!$B:$F,3,FALSE)*U42</f>
        <v>516.99786462512918</v>
      </c>
      <c r="W42" s="745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727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729</v>
      </c>
      <c r="C50" s="303" t="s">
        <v>771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772</v>
      </c>
      <c r="C51" s="304" t="s">
        <v>773</v>
      </c>
      <c r="H51" s="23"/>
      <c r="K51" s="49"/>
      <c r="L51" s="1840"/>
      <c r="M51" s="1840"/>
      <c r="N51" s="1840"/>
      <c r="O51" s="49"/>
      <c r="P51" s="49"/>
    </row>
    <row r="52" spans="1:47" ht="15" customHeight="1">
      <c r="B52" s="305" t="s">
        <v>774</v>
      </c>
      <c r="C52" s="306">
        <f ca="1">Resultado!C5</f>
        <v>26003003.293451466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775</v>
      </c>
      <c r="C53" s="306">
        <f ca="1">Resultado!C6</f>
        <v>22236423.24388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0.16938785560344649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722</v>
      </c>
      <c r="C55" s="309">
        <f ca="1">Resultado!C8</f>
        <v>-0.1542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7" t="str">
        <f>Resultado!B9</f>
        <v>Variação econômica e financeira</v>
      </c>
      <c r="C56" s="1068">
        <f ca="1">C54+C55</f>
        <v>1.5187855603446487E-2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730</v>
      </c>
      <c r="F58" s="311"/>
      <c r="G58" s="303" t="s">
        <v>771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776</v>
      </c>
      <c r="F59" s="304" t="s">
        <v>777</v>
      </c>
      <c r="G59" s="304" t="s">
        <v>778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779</v>
      </c>
      <c r="F60" s="306">
        <f ca="1">Calc_Mercado!C8</f>
        <v>41304.089999999997</v>
      </c>
      <c r="G60" s="306">
        <f ca="1">Calc_Mercado!D8</f>
        <v>22236423.24388</v>
      </c>
      <c r="H60" s="313" t="s">
        <v>780</v>
      </c>
    </row>
    <row r="61" spans="1:47" ht="15" hidden="1" customHeight="1">
      <c r="E61" s="305" t="s">
        <v>781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782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783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784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785</v>
      </c>
      <c r="F65" s="306">
        <f ca="1">Calc_Mercado!C13</f>
        <v>24984.675999999999</v>
      </c>
      <c r="G65" s="306">
        <f ca="1">Calc_Mercado!D13</f>
        <v>12311119.057120001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786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787</v>
      </c>
      <c r="F67" s="306">
        <f ca="1">Calc_Mercado!C15</f>
        <v>16319.413999999999</v>
      </c>
      <c r="G67" s="306">
        <f ca="1">Calc_Mercado!D15</f>
        <v>9925304.186759999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788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789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7" t="s">
        <v>767</v>
      </c>
      <c r="F70" s="1069">
        <f ca="1">Calc_Mercado!C25</f>
        <v>41304.089999999997</v>
      </c>
      <c r="G70" s="1069">
        <f ca="1">Calc_Mercado!D25</f>
        <v>22236423.24388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731</v>
      </c>
      <c r="J72" s="311"/>
      <c r="K72" s="303" t="s">
        <v>771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790</v>
      </c>
      <c r="J73" s="296" t="s">
        <v>791</v>
      </c>
      <c r="K73" s="296" t="s">
        <v>792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2"/>
      <c r="D74" s="1842"/>
      <c r="E74" s="1842"/>
      <c r="I74" s="1070" t="s">
        <v>741</v>
      </c>
      <c r="J74" s="1071">
        <f ca="1">SUM(J75:J84)</f>
        <v>2860693.5744119063</v>
      </c>
      <c r="K74" s="1072">
        <f ca="1">SUM(K75:K84)</f>
        <v>0.12864899822408435</v>
      </c>
      <c r="L74" s="313" t="s">
        <v>780</v>
      </c>
      <c r="N74" s="34"/>
      <c r="AG74" s="49"/>
      <c r="AH74" s="1833"/>
      <c r="AI74" s="1833"/>
      <c r="AJ74" s="1833"/>
      <c r="AK74" s="637"/>
      <c r="AL74" s="49"/>
      <c r="AM74" s="49"/>
      <c r="AN74" s="49"/>
      <c r="AO74" s="49"/>
    </row>
    <row r="75" spans="2:43" ht="15" hidden="1" customHeight="1">
      <c r="B75" s="30"/>
      <c r="C75" s="1837"/>
      <c r="D75" s="1837"/>
      <c r="E75" s="1837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4"/>
      <c r="AI75" s="1834"/>
      <c r="AJ75" s="1834"/>
      <c r="AK75" s="638"/>
      <c r="AL75" s="417"/>
      <c r="AM75" s="49"/>
      <c r="AN75" s="49"/>
      <c r="AO75" s="49"/>
    </row>
    <row r="76" spans="2:43" ht="15" hidden="1" customHeight="1">
      <c r="B76" s="30"/>
      <c r="C76" s="1837"/>
      <c r="D76" s="1837"/>
      <c r="E76" s="1837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37"/>
      <c r="D77" s="1837"/>
      <c r="E77" s="1837"/>
      <c r="I77" s="35" t="str">
        <f>Resultado!B17</f>
        <v>Taxa de Fisc. de Serviços de E.E. – TFSEE</v>
      </c>
      <c r="J77" s="315">
        <f ca="1">Mercado_Faturado_Encargo_TFSEE_BRUTO</f>
        <v>35809.573681888338</v>
      </c>
      <c r="K77" s="36">
        <f ca="1">J77/$J$98</f>
        <v>1.6104016949643192E-3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37"/>
      <c r="D78" s="1837"/>
      <c r="E78" s="1837"/>
      <c r="I78" s="35" t="str">
        <f>Resultado!B18</f>
        <v>Conta de Desenvolvimento Energético – CDE</v>
      </c>
      <c r="J78" s="315">
        <f ca="1">Mercado_Faturado_Encargo_CDE_BRUTO</f>
        <v>2264651.448851007</v>
      </c>
      <c r="K78" s="36">
        <f ca="1">J78/$J$98</f>
        <v>0.1018442320517664</v>
      </c>
      <c r="L78" s="313">
        <f t="shared" ref="L78:L95" ca="1" si="2">IF(J78=0,0,1)</f>
        <v>1</v>
      </c>
      <c r="N78" s="36"/>
      <c r="AG78" s="49"/>
      <c r="AH78" s="1834"/>
      <c r="AI78" s="1834"/>
      <c r="AJ78" s="1834"/>
      <c r="AK78" s="638"/>
      <c r="AL78" s="417"/>
      <c r="AM78" s="49"/>
      <c r="AN78" s="49"/>
      <c r="AO78" s="49"/>
    </row>
    <row r="79" spans="2:43" ht="15" hidden="1" customHeight="1">
      <c r="B79" s="30"/>
      <c r="C79" s="1837"/>
      <c r="D79" s="1837"/>
      <c r="E79" s="1837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06"/>
      <c r="D80" s="1706"/>
      <c r="E80" s="1706"/>
      <c r="I80" s="35" t="s">
        <v>2303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7"/>
      <c r="D81" s="1837"/>
      <c r="E81" s="1837"/>
      <c r="I81" s="35" t="str">
        <f>Resultado!B20</f>
        <v>Encargos Serv. Sist. - ESS e Energ. Reserv. – EER</v>
      </c>
      <c r="J81" s="315">
        <f ca="1">Mercado_Faturado_Encargo_ESSERR_BRUTO</f>
        <v>179626.41558225855</v>
      </c>
      <c r="K81" s="36">
        <f ca="1">J81/$J$98</f>
        <v>8.0780264709026921E-3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37"/>
      <c r="D82" s="1837"/>
      <c r="E82" s="1837"/>
      <c r="I82" s="35" t="str">
        <f>Resultado!B21</f>
        <v>PROINFA</v>
      </c>
      <c r="J82" s="315">
        <f ca="1">Mercado_Faturado_Encargo_PROINFA_BRUTO</f>
        <v>380606.1362967522</v>
      </c>
      <c r="K82" s="36">
        <f ca="1">J82/$J$98</f>
        <v>1.7116338006450932E-2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4"/>
      <c r="AI83" s="1834"/>
      <c r="AJ83" s="1834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0" t="s">
        <v>793</v>
      </c>
      <c r="J85" s="1071">
        <f ca="1">SUM(Calc_Mercado!C79:C85)</f>
        <v>8645272.6082147211</v>
      </c>
      <c r="K85" s="1072">
        <f ca="1">SUM(K86)</f>
        <v>0.38878881344346189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794</v>
      </c>
      <c r="J86" s="315">
        <f ca="1">J85</f>
        <v>8645272.6082147211</v>
      </c>
      <c r="K86" s="36">
        <f t="shared" ref="K86:K97" ca="1" si="3">J86/$J$98</f>
        <v>0.38878881344346189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6"/>
      <c r="C87" s="1836"/>
      <c r="D87" s="1836"/>
      <c r="E87" s="1836"/>
      <c r="F87" s="1836"/>
      <c r="G87" s="39"/>
      <c r="I87" s="1070" t="s">
        <v>795</v>
      </c>
      <c r="J87" s="1071">
        <f ca="1">Resultado!C24</f>
        <v>3237480.1830816967</v>
      </c>
      <c r="K87" s="1072">
        <f t="shared" ca="1" si="3"/>
        <v>0.14559356725559403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5"/>
      <c r="C88" s="1835"/>
      <c r="D88" s="1835"/>
      <c r="E88" s="1835"/>
      <c r="F88" s="1835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5"/>
      <c r="C90" s="1835"/>
      <c r="D90" s="1835"/>
      <c r="E90" s="1835"/>
      <c r="F90" s="1835"/>
      <c r="G90" s="42"/>
      <c r="I90" s="37" t="s">
        <v>716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717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718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719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6"/>
      <c r="C95" s="1836"/>
      <c r="D95" s="1836"/>
      <c r="E95" s="1836"/>
      <c r="F95" s="1836"/>
      <c r="G95" s="42"/>
      <c r="I95" s="37" t="s">
        <v>639</v>
      </c>
      <c r="J95" s="315">
        <f ca="1">Resultado!C32</f>
        <v>3237480.1830816967</v>
      </c>
      <c r="K95" s="36">
        <f t="shared" ca="1" si="3"/>
        <v>0.14559356725559403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5"/>
      <c r="C96" s="1835"/>
      <c r="D96" s="1835"/>
      <c r="E96" s="1835"/>
      <c r="F96" s="1835"/>
      <c r="I96" s="1070" t="s">
        <v>796</v>
      </c>
      <c r="J96" s="1071">
        <f ca="1">J87+J85+J74</f>
        <v>14743446.365708325</v>
      </c>
      <c r="K96" s="1072">
        <f t="shared" ca="1" si="3"/>
        <v>0.66303137892314035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5"/>
      <c r="C97" s="1835"/>
      <c r="D97" s="1835"/>
      <c r="E97" s="1835"/>
      <c r="F97" s="1835"/>
      <c r="I97" s="1070" t="s">
        <v>797</v>
      </c>
      <c r="J97" s="1071">
        <f ca="1">J98-J96</f>
        <v>7492976.8781716749</v>
      </c>
      <c r="K97" s="1072">
        <f t="shared" ca="1" si="3"/>
        <v>0.33696862107685971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6"/>
      <c r="C98" s="1836"/>
      <c r="D98" s="1836"/>
      <c r="E98" s="1836"/>
      <c r="F98" s="1836"/>
      <c r="G98" s="28"/>
      <c r="I98" s="1067" t="s">
        <v>798</v>
      </c>
      <c r="J98" s="1069">
        <f ca="1">Mercado_RA0_Reais</f>
        <v>22236423.24388</v>
      </c>
      <c r="K98" s="1073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5"/>
      <c r="C99" s="1835"/>
      <c r="D99" s="1835"/>
      <c r="E99" s="1835"/>
      <c r="F99" s="1835"/>
      <c r="G99" s="42"/>
      <c r="M99" s="302" t="s">
        <v>733</v>
      </c>
      <c r="N99" s="303" t="s">
        <v>771</v>
      </c>
      <c r="AH99" s="418"/>
      <c r="AI99" s="419"/>
      <c r="AJ99" s="419"/>
      <c r="AL99" s="49"/>
      <c r="AM99" s="49"/>
      <c r="AN99" s="49"/>
    </row>
    <row r="100" spans="2:41" ht="15" customHeight="1">
      <c r="B100" s="1835"/>
      <c r="C100" s="1835"/>
      <c r="D100" s="1835"/>
      <c r="E100" s="1835"/>
      <c r="F100" s="1835"/>
      <c r="G100" s="42"/>
      <c r="M100" s="296" t="s">
        <v>741</v>
      </c>
      <c r="N100" s="296" t="s">
        <v>773</v>
      </c>
      <c r="O100" s="318" t="s">
        <v>780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46023.713893769425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3294285.67936</v>
      </c>
      <c r="O104" s="319">
        <f t="shared" ca="1" si="4"/>
        <v>1</v>
      </c>
    </row>
    <row r="105" spans="2:41" ht="15" hidden="1" customHeight="1">
      <c r="B105" s="1835"/>
      <c r="C105" s="1835"/>
      <c r="D105" s="1835"/>
      <c r="E105" s="1835"/>
      <c r="F105" s="1835"/>
      <c r="G105" s="45"/>
      <c r="M105" s="35" t="s">
        <v>799</v>
      </c>
      <c r="N105" s="315">
        <f>Encargos!I20</f>
        <v>0</v>
      </c>
      <c r="O105" s="319">
        <f t="shared" si="4"/>
        <v>0</v>
      </c>
    </row>
    <row r="106" spans="2:41" ht="15" customHeight="1">
      <c r="B106" s="297"/>
      <c r="C106" s="297"/>
      <c r="D106" s="297"/>
      <c r="E106" s="297"/>
      <c r="F106" s="297"/>
      <c r="G106" s="45"/>
      <c r="M106" s="35" t="s">
        <v>2054</v>
      </c>
      <c r="N106" s="315">
        <f>Encargos!I21</f>
        <v>-564354.49</v>
      </c>
      <c r="O106" s="1552">
        <f>IF(N106=0,0,1)</f>
        <v>1</v>
      </c>
    </row>
    <row r="107" spans="2:41" ht="15" customHeight="1">
      <c r="B107" s="1835"/>
      <c r="C107" s="1835"/>
      <c r="D107" s="1835"/>
      <c r="E107" s="1835"/>
      <c r="F107" s="1835"/>
      <c r="G107" s="45"/>
      <c r="M107" s="35" t="str">
        <f>Resultado!B20</f>
        <v>Encargos Serv. Sist. - ESS e Energ. Reserv. – EER</v>
      </c>
      <c r="N107" s="315">
        <f>Resultado!D20</f>
        <v>1190477.8099999998</v>
      </c>
      <c r="O107" s="319">
        <f t="shared" si="4"/>
        <v>1</v>
      </c>
    </row>
    <row r="108" spans="2:41" ht="15" customHeight="1">
      <c r="B108" s="1836"/>
      <c r="C108" s="1836"/>
      <c r="D108" s="1836"/>
      <c r="E108" s="1836"/>
      <c r="F108" s="1836"/>
      <c r="G108" s="39"/>
      <c r="M108" s="35" t="str">
        <f>Resultado!B21</f>
        <v>PROINFA</v>
      </c>
      <c r="N108" s="315">
        <f ca="1">Resultado!D21</f>
        <v>577427.02811999992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7" t="s">
        <v>767</v>
      </c>
      <c r="N111" s="1069">
        <f ca="1">SUM(N101:N110)</f>
        <v>4543859.741373769</v>
      </c>
    </row>
    <row r="112" spans="2:41" ht="15" customHeight="1">
      <c r="B112" s="29"/>
      <c r="C112" s="29"/>
      <c r="D112" s="29"/>
      <c r="P112" s="321" t="s">
        <v>740</v>
      </c>
      <c r="Q112" s="303" t="s">
        <v>771</v>
      </c>
    </row>
    <row r="113" spans="2:44" ht="15" customHeight="1">
      <c r="B113" s="46"/>
      <c r="C113" s="307"/>
      <c r="D113" s="307"/>
      <c r="P113" s="296" t="s">
        <v>776</v>
      </c>
      <c r="Q113" s="296" t="s">
        <v>800</v>
      </c>
    </row>
    <row r="114" spans="2:44" ht="15" customHeight="1">
      <c r="B114" s="46"/>
      <c r="C114" s="307"/>
      <c r="D114" s="307"/>
      <c r="P114" s="35" t="s">
        <v>801</v>
      </c>
      <c r="Q114" s="48">
        <f ca="1">Energia!N15</f>
        <v>4.0412268394683516E-2</v>
      </c>
    </row>
    <row r="115" spans="2:44" ht="15" customHeight="1">
      <c r="B115" s="46"/>
      <c r="C115" s="307"/>
      <c r="D115" s="307"/>
      <c r="P115" s="35" t="s">
        <v>666</v>
      </c>
      <c r="Q115" s="1074">
        <f ca="1">Energia!N14</f>
        <v>6.83005112162627E-3</v>
      </c>
    </row>
    <row r="116" spans="2:44" ht="15" customHeight="1">
      <c r="B116" s="46"/>
      <c r="C116" s="307"/>
      <c r="D116" s="307"/>
      <c r="P116" s="1067" t="s">
        <v>767</v>
      </c>
      <c r="Q116" s="1073">
        <f ca="1">SUM(Q114:Q115)</f>
        <v>4.7242319516309784E-2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802</v>
      </c>
      <c r="T119" s="303" t="s">
        <v>771</v>
      </c>
    </row>
    <row r="120" spans="2:44" ht="15" customHeight="1">
      <c r="B120" s="46"/>
      <c r="C120" s="307"/>
      <c r="D120" s="307"/>
      <c r="P120" s="44"/>
      <c r="Q120" s="307"/>
      <c r="S120" s="296" t="s">
        <v>776</v>
      </c>
      <c r="T120" s="296" t="s">
        <v>777</v>
      </c>
    </row>
    <row r="121" spans="2:44" ht="15" customHeight="1">
      <c r="B121" s="46"/>
      <c r="C121" s="307"/>
      <c r="D121" s="307"/>
      <c r="P121" s="44"/>
      <c r="Q121" s="307"/>
      <c r="S121" s="1075" t="s">
        <v>803</v>
      </c>
      <c r="T121" s="1076">
        <f ca="1">SUM(T122:T123)</f>
        <v>41304.089999999997</v>
      </c>
      <c r="U121" s="318" t="s">
        <v>780</v>
      </c>
    </row>
    <row r="122" spans="2:44" ht="15" customHeight="1">
      <c r="B122" s="46"/>
      <c r="C122" s="307"/>
      <c r="D122" s="307"/>
      <c r="P122" s="44"/>
      <c r="Q122" s="307"/>
      <c r="S122" s="47" t="s">
        <v>804</v>
      </c>
      <c r="T122" s="322">
        <f ca="1">Energia!D7</f>
        <v>41304.089999999997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805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5" t="s">
        <v>806</v>
      </c>
      <c r="T124" s="1077">
        <f ca="1">SUM(T125:T126)</f>
        <v>1680.6710400000002</v>
      </c>
      <c r="U124" s="318">
        <v>1</v>
      </c>
    </row>
    <row r="125" spans="2:44" ht="15" customHeight="1">
      <c r="B125" s="46"/>
      <c r="C125" s="307"/>
      <c r="D125" s="307"/>
      <c r="P125" s="44"/>
      <c r="Q125" s="307"/>
      <c r="S125" s="47" t="s">
        <v>807</v>
      </c>
      <c r="T125" s="322">
        <f ca="1">SUM(Energia!D12:D13)</f>
        <v>1680.6710400000002</v>
      </c>
      <c r="U125" s="318">
        <f ca="1">IF(T125=0,0,1)</f>
        <v>1</v>
      </c>
    </row>
    <row r="126" spans="2:44" ht="15" hidden="1" customHeight="1">
      <c r="B126" s="46"/>
      <c r="C126" s="307"/>
      <c r="D126" s="307"/>
      <c r="P126" s="44"/>
      <c r="Q126" s="307"/>
      <c r="S126" s="47" t="s">
        <v>808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7" t="s">
        <v>802</v>
      </c>
      <c r="T127" s="1078">
        <f ca="1">T121+T124</f>
        <v>42984.761039999998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9" t="s">
        <v>809</v>
      </c>
      <c r="W129" s="1079"/>
      <c r="X129" s="303" t="s">
        <v>771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2" t="s">
        <v>27</v>
      </c>
      <c r="W130" s="1080" t="s">
        <v>77</v>
      </c>
      <c r="X130" s="1062" t="s">
        <v>810</v>
      </c>
      <c r="Y130" s="318" t="s">
        <v>780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1">
        <f>Energia!B32</f>
        <v>0</v>
      </c>
      <c r="W135" s="1081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2"/>
      <c r="W136" s="1083"/>
      <c r="X136" s="1084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9" t="s">
        <v>811</v>
      </c>
      <c r="AA138" s="1079"/>
      <c r="AB138" s="1079"/>
      <c r="AC138" s="303" t="s">
        <v>771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776</v>
      </c>
      <c r="AA139" s="296" t="s">
        <v>777</v>
      </c>
      <c r="AB139" s="296" t="s">
        <v>810</v>
      </c>
      <c r="AC139" s="296" t="s">
        <v>812</v>
      </c>
      <c r="AD139" s="329" t="s">
        <v>780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20253.541000000001</v>
      </c>
      <c r="AB140" s="331">
        <f>Energia!G35</f>
        <v>284.99</v>
      </c>
      <c r="AC140" s="332">
        <f>AA140*AB140</f>
        <v>5772056.6495900005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5">
        <f>Energia!C20</f>
        <v>659.81567944888718</v>
      </c>
      <c r="AB142" s="1086">
        <f>Energia!D20</f>
        <v>0</v>
      </c>
      <c r="AC142" s="1087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5" t="s">
        <v>813</v>
      </c>
      <c r="AA143" s="1088">
        <f ca="1">Energia!M30-Energia!L30</f>
        <v>2256.3685728202472</v>
      </c>
      <c r="AB143" s="1089">
        <f>Energia!M34</f>
        <v>0</v>
      </c>
      <c r="AC143" s="1089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7" t="s">
        <v>767</v>
      </c>
      <c r="AA144" s="1090">
        <f ca="1">SUM(AA140:AA143)</f>
        <v>23169.725252269134</v>
      </c>
      <c r="AB144" s="1091">
        <f ca="1">AC144/AA144</f>
        <v>249.12063422179389</v>
      </c>
      <c r="AC144" s="1091">
        <f ca="1">SUM(AC140:AC143)</f>
        <v>5772056.6495900005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2" t="s">
        <v>751</v>
      </c>
      <c r="AF146" s="1092"/>
      <c r="AG146" s="1092"/>
      <c r="AH146" s="1092"/>
      <c r="AI146" s="1092"/>
      <c r="AJ146" s="1092"/>
      <c r="AK146" s="303" t="s">
        <v>771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2" t="s">
        <v>27</v>
      </c>
      <c r="AF147" s="1062" t="s">
        <v>77</v>
      </c>
      <c r="AG147" s="1062" t="s">
        <v>814</v>
      </c>
      <c r="AH147" s="1062" t="s">
        <v>815</v>
      </c>
      <c r="AI147" s="1062" t="s">
        <v>60</v>
      </c>
      <c r="AJ147" s="1062" t="s">
        <v>816</v>
      </c>
      <c r="AK147" s="1062" t="s">
        <v>812</v>
      </c>
      <c r="AL147" s="318" t="s">
        <v>780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105774.32</v>
      </c>
      <c r="AJ148" s="397">
        <f>CUSD!J6</f>
        <v>13.88</v>
      </c>
      <c r="AK148" s="334">
        <f>IFERROR(AI148*AJ148,0)</f>
        <v>1468147.5616000001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91753.2</v>
      </c>
      <c r="AJ149" s="397">
        <f>CUSD!J7</f>
        <v>24.15</v>
      </c>
      <c r="AK149" s="334">
        <f t="shared" ref="AK149:AK155" si="6">IFERROR(AI149*AJ149,0)</f>
        <v>2215839.7799999998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39656.955999999998</v>
      </c>
      <c r="AJ150" s="397">
        <f>CUSD!J8</f>
        <v>12.06</v>
      </c>
      <c r="AK150" s="334">
        <f t="shared" si="6"/>
        <v>478262.88935999997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3997.384</v>
      </c>
      <c r="AJ151" s="397">
        <f>CUSD!J9</f>
        <v>12.06</v>
      </c>
      <c r="AK151" s="334">
        <f t="shared" si="6"/>
        <v>48208.45104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7" t="s">
        <v>817</v>
      </c>
      <c r="AF163" s="1067"/>
      <c r="AG163" s="1067"/>
      <c r="AH163" s="1067"/>
      <c r="AI163" s="1093">
        <f>SUM(AI148:AI162)</f>
        <v>241181.86000000002</v>
      </c>
      <c r="AJ163" s="1069"/>
      <c r="AK163" s="1069">
        <f>SUM(AK148:AK162)</f>
        <v>4210458.682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1" t="s">
        <v>818</v>
      </c>
      <c r="AN165" s="1742" t="s">
        <v>771</v>
      </c>
    </row>
    <row r="166" spans="2:42" ht="15" customHeight="1">
      <c r="B166" s="46"/>
      <c r="C166" s="307"/>
      <c r="D166" s="307"/>
      <c r="P166" s="44"/>
      <c r="Q166" s="307"/>
      <c r="AM166" s="1743" t="s">
        <v>722</v>
      </c>
      <c r="AN166" s="1707" t="s">
        <v>773</v>
      </c>
      <c r="AO166" s="23" t="s">
        <v>780</v>
      </c>
      <c r="AP166" s="651" t="s">
        <v>819</v>
      </c>
    </row>
    <row r="167" spans="2:42" ht="15" customHeight="1">
      <c r="B167" s="46"/>
      <c r="C167" s="307"/>
      <c r="D167" s="307"/>
      <c r="P167" s="44"/>
      <c r="Q167" s="307"/>
      <c r="AM167" s="924" t="s">
        <v>2304</v>
      </c>
      <c r="AN167" s="1744">
        <f ca="1">SUM(Financeiros!D9:D14)</f>
        <v>361363.94925395359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4" t="s">
        <v>726</v>
      </c>
      <c r="AN168" s="1744">
        <f ca="1">SUM(Financeiros!D15:D19,D21)</f>
        <v>-157517.64035034197</v>
      </c>
      <c r="AO168" s="23">
        <f t="shared" ca="1" si="8"/>
        <v>1</v>
      </c>
      <c r="AP168" s="651"/>
    </row>
    <row r="169" spans="2:42" ht="15" hidden="1" customHeight="1">
      <c r="B169" s="46"/>
      <c r="C169" s="307"/>
      <c r="D169" s="307"/>
      <c r="P169" s="44"/>
      <c r="Q169" s="307"/>
      <c r="AM169" s="927" t="s">
        <v>2102</v>
      </c>
      <c r="AN169" s="928">
        <f ca="1">Financeiros!D20+Financeiros!D22</f>
        <v>0</v>
      </c>
      <c r="AO169" s="23">
        <f t="shared" ca="1" si="8"/>
        <v>0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7" t="s">
        <v>2159</v>
      </c>
      <c r="AN170" s="928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4" t="s">
        <v>2305</v>
      </c>
      <c r="AN171" s="1744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4"/>
      <c r="AN172" s="1744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4"/>
      <c r="AN173" s="1744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44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44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4" t="s">
        <v>2307</v>
      </c>
      <c r="AN176" s="1744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44">
        <f>Financeiros!D29</f>
        <v>-37581.75597822346</v>
      </c>
      <c r="AO177" s="651">
        <f>IF(AN177=0,0,1)</f>
        <v>1</v>
      </c>
      <c r="AP177" s="651"/>
    </row>
    <row r="178" spans="2:42" ht="15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44">
        <f ca="1">Financeiros!D30</f>
        <v>-3622155.4467763063</v>
      </c>
      <c r="AO178" s="23">
        <f t="shared" ca="1" si="8"/>
        <v>1</v>
      </c>
      <c r="AP178" s="651"/>
    </row>
    <row r="179" spans="2:42" ht="15" hidden="1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44">
        <f>Financeiros!D31</f>
        <v>0</v>
      </c>
      <c r="AO179" s="23">
        <f t="shared" si="8"/>
        <v>0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44">
        <f>Financeiros!D32</f>
        <v>0</v>
      </c>
      <c r="AO180" s="1551">
        <f>IF(AN180=0,0,1)</f>
        <v>0</v>
      </c>
      <c r="AP180" s="1551"/>
    </row>
    <row r="181" spans="2:42" ht="15" hidden="1" customHeight="1">
      <c r="B181" s="46"/>
      <c r="C181" s="307"/>
      <c r="D181" s="307"/>
      <c r="P181" s="44"/>
      <c r="Q181" s="307"/>
      <c r="AM181" s="1779" t="s">
        <v>2405</v>
      </c>
      <c r="AN181" s="1780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4"/>
      <c r="AN182" s="1744">
        <v>0</v>
      </c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44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44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44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44">
        <f>Financeiros!D38</f>
        <v>0</v>
      </c>
      <c r="AO186" s="23">
        <f t="shared" si="9"/>
        <v>0</v>
      </c>
      <c r="AP186" s="651"/>
    </row>
    <row r="187" spans="2:42" ht="15" hidden="1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44">
        <f>Financeiros!D39</f>
        <v>0</v>
      </c>
      <c r="AO187" s="23">
        <f t="shared" si="9"/>
        <v>0</v>
      </c>
      <c r="AP187" s="651"/>
    </row>
    <row r="188" spans="2:42" ht="15" hidden="1" customHeight="1">
      <c r="B188" s="46"/>
      <c r="C188" s="307"/>
      <c r="D188" s="307"/>
      <c r="P188" s="44"/>
      <c r="Q188" s="307"/>
      <c r="AM188" s="1779" t="s">
        <v>2404</v>
      </c>
      <c r="AN188" s="1780">
        <f>Financeiros!D40+Financeiros!D41</f>
        <v>0</v>
      </c>
      <c r="AO188" s="23">
        <f t="shared" si="9"/>
        <v>0</v>
      </c>
      <c r="AP188" s="915"/>
    </row>
    <row r="189" spans="2:42" ht="15" hidden="1" customHeight="1">
      <c r="B189" s="46"/>
      <c r="C189" s="307"/>
      <c r="D189" s="307"/>
      <c r="P189" s="44"/>
      <c r="Q189" s="307"/>
      <c r="AM189" s="1779"/>
      <c r="AN189" s="1780">
        <v>0</v>
      </c>
      <c r="AO189" s="23">
        <f t="shared" si="9"/>
        <v>0</v>
      </c>
      <c r="AP189" s="915"/>
    </row>
    <row r="190" spans="2:42" ht="15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44">
        <f>Financeiros!D42</f>
        <v>-4199.08</v>
      </c>
      <c r="AO190" s="23">
        <f t="shared" si="8"/>
        <v>1</v>
      </c>
      <c r="AP190" s="651"/>
    </row>
    <row r="191" spans="2:42" ht="15" hidden="1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44">
        <f>Financeiros!D43</f>
        <v>0</v>
      </c>
      <c r="AO191" s="23">
        <f t="shared" si="8"/>
        <v>0</v>
      </c>
      <c r="AP191" s="651"/>
    </row>
    <row r="192" spans="2:42" ht="15" hidden="1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44">
        <f>Financeiros!D44</f>
        <v>0</v>
      </c>
      <c r="AO192" s="23">
        <f>IF(AN192=0,0,1)</f>
        <v>0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44">
        <f>Financeiros!D45</f>
        <v>0</v>
      </c>
      <c r="AO193" s="23">
        <f t="shared" ref="AO193:AO195" si="10">IF(AN193=0,0,1)</f>
        <v>0</v>
      </c>
      <c r="AP193" s="651"/>
    </row>
    <row r="194" spans="2:42" ht="15" hidden="1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44">
        <f>Financeiros!D46</f>
        <v>0</v>
      </c>
      <c r="AO194" s="23">
        <f t="shared" si="10"/>
        <v>0</v>
      </c>
      <c r="AP194" s="651"/>
    </row>
    <row r="195" spans="2:42" ht="15" hidden="1" customHeight="1">
      <c r="B195" s="46"/>
      <c r="C195" s="307"/>
      <c r="D195" s="307"/>
      <c r="P195" s="44"/>
      <c r="Q195" s="307"/>
      <c r="AM195" s="924" t="s">
        <v>2408</v>
      </c>
      <c r="AN195" s="1744">
        <f>Financeiros!D47+Financeiros!D48</f>
        <v>0</v>
      </c>
      <c r="AO195" s="23">
        <f t="shared" si="10"/>
        <v>0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4"/>
      <c r="AN196" s="1744">
        <v>0</v>
      </c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4" t="s">
        <v>2308</v>
      </c>
      <c r="AN197" s="1744">
        <f ca="1">SUM(Financeiros!D58:D62)</f>
        <v>-11325.545499999998</v>
      </c>
      <c r="AO197" s="23">
        <f ca="1">IF(AN197=0,0,1)</f>
        <v>1</v>
      </c>
      <c r="AP197" s="651"/>
    </row>
    <row r="198" spans="2:42" ht="15" customHeight="1">
      <c r="B198" s="46"/>
      <c r="C198" s="307"/>
      <c r="D198" s="307"/>
      <c r="P198" s="44"/>
      <c r="Q198" s="307"/>
      <c r="AM198" s="924" t="s">
        <v>2309</v>
      </c>
      <c r="AN198" s="1744">
        <f>Financeiros!D65</f>
        <v>152472.49830000001</v>
      </c>
      <c r="AO198" s="23">
        <f>IF(AN198=0,0,1)</f>
        <v>1</v>
      </c>
      <c r="AP198" s="651"/>
    </row>
    <row r="199" spans="2:42" ht="15" hidden="1" customHeight="1">
      <c r="B199" s="46"/>
      <c r="C199" s="307"/>
      <c r="D199" s="307"/>
      <c r="P199" s="44"/>
      <c r="Q199" s="307"/>
      <c r="AM199" s="1779" t="s">
        <v>2058</v>
      </c>
      <c r="AN199" s="1780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4"/>
      <c r="AN200" s="1744">
        <v>0</v>
      </c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4"/>
      <c r="AN201" s="1744">
        <v>0</v>
      </c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4" t="s">
        <v>2311</v>
      </c>
      <c r="AN202" s="1744">
        <f ca="1">SUM(Financeiros!D77:D81)</f>
        <v>-212450.83619999999</v>
      </c>
      <c r="AO202" s="651">
        <f ca="1">IF(AN202=0,0,1)</f>
        <v>1</v>
      </c>
      <c r="AP202" s="651"/>
    </row>
    <row r="203" spans="2:42" ht="15" customHeight="1">
      <c r="B203" s="46"/>
      <c r="C203" s="307"/>
      <c r="D203" s="307"/>
      <c r="P203" s="44"/>
      <c r="Q203" s="307"/>
      <c r="AM203" s="924" t="s">
        <v>1305</v>
      </c>
      <c r="AN203" s="1744">
        <f ca="1">SUM(Financeiros!D82:D86)</f>
        <v>-530121.38492414192</v>
      </c>
      <c r="AO203" s="651">
        <f ca="1">IF(AN203=0,0,1)</f>
        <v>1</v>
      </c>
      <c r="AP203" s="651"/>
    </row>
    <row r="204" spans="2:42" ht="15" customHeight="1">
      <c r="B204" s="46"/>
      <c r="C204" s="307"/>
      <c r="D204" s="307"/>
      <c r="P204" s="44"/>
      <c r="Q204" s="307"/>
      <c r="AM204" s="924" t="s">
        <v>2310</v>
      </c>
      <c r="AN204" s="1744">
        <f ca="1">SUM(Financeiros!D87:D91)</f>
        <v>631757.21968886943</v>
      </c>
      <c r="AO204" s="651">
        <f t="shared" ca="1" si="11"/>
        <v>1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4" t="s">
        <v>2422</v>
      </c>
      <c r="AN205" s="1744">
        <f>Financeiros!D92+Financeiros!D93+Financeiros!D94+Financeiros!D95+Financeiros!D96</f>
        <v>0</v>
      </c>
      <c r="AO205" s="651">
        <f t="shared" si="11"/>
        <v>0</v>
      </c>
      <c r="AP205" s="651"/>
    </row>
    <row r="206" spans="2:42" ht="15" hidden="1" customHeight="1">
      <c r="B206" s="46"/>
      <c r="C206" s="307"/>
      <c r="D206" s="307"/>
      <c r="P206" s="44"/>
      <c r="Q206" s="307"/>
      <c r="AM206" s="924" t="s">
        <v>2421</v>
      </c>
      <c r="AN206" s="1744">
        <f>Financeiros!D97</f>
        <v>0</v>
      </c>
      <c r="AO206" s="651">
        <f t="shared" si="11"/>
        <v>0</v>
      </c>
      <c r="AP206" s="651"/>
    </row>
    <row r="207" spans="2:42" ht="15" hidden="1" customHeight="1">
      <c r="B207" s="46"/>
      <c r="C207" s="307"/>
      <c r="D207" s="307"/>
      <c r="P207" s="44"/>
      <c r="Q207" s="307"/>
      <c r="AM207" s="924"/>
      <c r="AN207" s="1744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08" t="s">
        <v>725</v>
      </c>
      <c r="AN208" s="1115">
        <f ca="1">SUM(AN167:AN207)</f>
        <v>-3429758.0224861898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2" t="s">
        <v>820</v>
      </c>
      <c r="AQ211" s="303" t="s">
        <v>771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0" t="s">
        <v>821</v>
      </c>
      <c r="AQ212" s="1062" t="s">
        <v>822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823</v>
      </c>
      <c r="AQ213" s="228">
        <f>LnkTXTEfeitoAT</f>
        <v>9.3138749879352112E-2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824</v>
      </c>
      <c r="AQ214" s="228">
        <f>LnkTXTEfeitoBT</f>
        <v>0.19031773612001235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7" t="s">
        <v>825</v>
      </c>
      <c r="AQ215" s="1073">
        <f>LnkTXTEfeito</f>
        <v>0.13355369294285313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2" t="s">
        <v>826</v>
      </c>
      <c r="AT217" s="30"/>
      <c r="AU217" s="30"/>
      <c r="AV217" s="30"/>
      <c r="AW217" s="30"/>
      <c r="AX217" s="303" t="s">
        <v>771</v>
      </c>
    </row>
    <row r="218" spans="2:54" ht="39" customHeight="1" thickBot="1">
      <c r="B218" s="54"/>
      <c r="C218" s="317"/>
      <c r="D218" s="54"/>
      <c r="AS218" s="917" t="s">
        <v>827</v>
      </c>
      <c r="AT218" s="917" t="s">
        <v>791</v>
      </c>
      <c r="AU218" s="917" t="s">
        <v>828</v>
      </c>
      <c r="AV218" s="917" t="s">
        <v>829</v>
      </c>
      <c r="AW218" s="917" t="s">
        <v>830</v>
      </c>
      <c r="AX218" s="917" t="s">
        <v>831</v>
      </c>
      <c r="AY218" s="318" t="s">
        <v>780</v>
      </c>
      <c r="BB218" s="403"/>
    </row>
    <row r="219" spans="2:54" ht="15" customHeight="1" thickTop="1">
      <c r="B219" s="54"/>
      <c r="C219" s="317"/>
      <c r="D219" s="54"/>
      <c r="AS219" s="1094" t="s">
        <v>832</v>
      </c>
      <c r="AT219" s="1095">
        <f ca="1">SUM(AT220:AT229)</f>
        <v>2860693.5744119063</v>
      </c>
      <c r="AU219" s="1095">
        <f ca="1">SUM(AU220:AU229)</f>
        <v>4543859.741373769</v>
      </c>
      <c r="AV219" s="1096">
        <f ca="1">IF(AU219=0,0,ROUND(AU219/AT219-1,4))</f>
        <v>0.58840000000000003</v>
      </c>
      <c r="AW219" s="1096">
        <f ca="1">SUM(AW220:AW229)</f>
        <v>7.5694105499863204E-2</v>
      </c>
      <c r="AX219" s="1096">
        <f t="shared" ref="AX219:AX225" ca="1" si="12">AU219/$AU$237</f>
        <v>0.17474365134269257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ca="1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ca="1">(AU221-AT221)/$AT$237</f>
        <v>0</v>
      </c>
      <c r="AX221" s="920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35809.573681888338</v>
      </c>
      <c r="AU222" s="919">
        <f ca="1">Resultado!D17</f>
        <v>46023.713893769425</v>
      </c>
      <c r="AV222" s="920">
        <f ca="1">IF(AU222=0,0,ROUND(AU222/AT222-1,4))</f>
        <v>0.28520000000000001</v>
      </c>
      <c r="AW222" s="920">
        <f ca="1">(AU222-AT222)/$AT$237</f>
        <v>4.5934276838754923E-4</v>
      </c>
      <c r="AX222" s="920">
        <f t="shared" ca="1" si="12"/>
        <v>1.7699383942069466E-3</v>
      </c>
      <c r="AY222" s="318">
        <f t="shared" ca="1" si="15"/>
        <v>1</v>
      </c>
    </row>
    <row r="223" spans="2:54" ht="15" customHeight="1">
      <c r="C223" s="28"/>
      <c r="H223" s="23"/>
      <c r="AS223" s="918" t="str">
        <f t="shared" si="13"/>
        <v>Conta de Desenvolvimento Energético – CDE</v>
      </c>
      <c r="AT223" s="919">
        <f t="shared" ca="1" si="13"/>
        <v>2264651.448851007</v>
      </c>
      <c r="AU223" s="919">
        <f ca="1">Encargos!I19</f>
        <v>3294285.67936</v>
      </c>
      <c r="AV223" s="920">
        <f t="shared" ref="AV223" ca="1" si="16">IF(AU223=0,0,ROUND(AU223/AT223-1,4))</f>
        <v>0.45469999999999999</v>
      </c>
      <c r="AW223" s="920">
        <f ca="1">(AU223-AT223)/$AT$237</f>
        <v>4.6303950020036296E-2</v>
      </c>
      <c r="AX223" s="920">
        <f t="shared" ca="1" si="12"/>
        <v>0.1266886613897259</v>
      </c>
      <c r="AY223" s="318">
        <f t="shared" ca="1" si="15"/>
        <v>1</v>
      </c>
    </row>
    <row r="224" spans="2:54" ht="15" hidden="1" customHeight="1">
      <c r="C224" s="28"/>
      <c r="H224" s="23"/>
      <c r="AS224" s="918" t="s">
        <v>833</v>
      </c>
      <c r="AT224" s="919">
        <f ca="1">J79</f>
        <v>0</v>
      </c>
      <c r="AU224" s="919">
        <f>Encargos!I20</f>
        <v>0</v>
      </c>
      <c r="AV224" s="920">
        <f>IFERROR(IF(AU224=0,0,ROUND(AU224/AT224-1,4)),0)</f>
        <v>0</v>
      </c>
      <c r="AW224" s="920">
        <f ca="1">(AU224-AT224)/$AT$237</f>
        <v>0</v>
      </c>
      <c r="AX224" s="920">
        <f t="shared" ca="1" si="12"/>
        <v>0</v>
      </c>
      <c r="AY224" s="318">
        <f t="shared" ca="1" si="15"/>
        <v>0</v>
      </c>
    </row>
    <row r="225" spans="2:53" ht="15" customHeight="1">
      <c r="C225" s="28"/>
      <c r="H225" s="23"/>
      <c r="AS225" s="918" t="s">
        <v>2071</v>
      </c>
      <c r="AT225" s="919"/>
      <c r="AU225" s="925">
        <f>Encargos!I21</f>
        <v>-564354.49</v>
      </c>
      <c r="AV225" s="920">
        <f>IFERROR(IF(AU225=0,0,ROUND(AU225/AT225-1,4)),0)</f>
        <v>0</v>
      </c>
      <c r="AW225" s="920">
        <f t="shared" ref="AW225:AW226" ca="1" si="17">(AU225-AT225)/$AT$237</f>
        <v>-2.5379733233640619E-2</v>
      </c>
      <c r="AX225" s="920">
        <f t="shared" ca="1" si="12"/>
        <v>-2.1703434931384474E-2</v>
      </c>
      <c r="AY225" s="913">
        <f ca="1">IF(AW225=0,0,1)</f>
        <v>1</v>
      </c>
    </row>
    <row r="226" spans="2:53" ht="12.75">
      <c r="C226" s="28"/>
      <c r="H226" s="23"/>
      <c r="AS226" s="918" t="str">
        <f t="shared" ref="AS226:AT229" si="18">I81</f>
        <v>Encargos Serv. Sist. - ESS e Energ. Reserv. – EER</v>
      </c>
      <c r="AT226" s="919">
        <f t="shared" ca="1" si="18"/>
        <v>179626.41558225855</v>
      </c>
      <c r="AU226" s="919">
        <f>Resultado!D20</f>
        <v>1190477.8099999998</v>
      </c>
      <c r="AV226" s="920">
        <f t="shared" ref="AV226" ca="1" si="19">IFERROR(IF(AU226=0,0,ROUND(AU226/AT226-1,4)),0)</f>
        <v>5.6275000000000004</v>
      </c>
      <c r="AW226" s="920">
        <f t="shared" ca="1" si="17"/>
        <v>4.5459262190287369E-2</v>
      </c>
      <c r="AX226" s="920">
        <f t="shared" ref="AX226:AX239" ca="1" si="20">AU226/$AU$237</f>
        <v>4.5782319702270972E-2</v>
      </c>
      <c r="AY226" s="318">
        <f ca="1">IF(AW226=0,0,1)</f>
        <v>1</v>
      </c>
    </row>
    <row r="227" spans="2:53" ht="15" customHeight="1">
      <c r="C227" s="28"/>
      <c r="H227" s="23"/>
      <c r="AS227" s="918" t="str">
        <f t="shared" si="18"/>
        <v>PROINFA</v>
      </c>
      <c r="AT227" s="919">
        <f t="shared" ca="1" si="18"/>
        <v>380606.1362967522</v>
      </c>
      <c r="AU227" s="919">
        <f ca="1">Resultado!D21</f>
        <v>577427.02811999992</v>
      </c>
      <c r="AV227" s="920">
        <f ca="1">IF(AU227=0,0,ROUND(AU227/AT227-1,4))</f>
        <v>0.5171</v>
      </c>
      <c r="AW227" s="920">
        <f ca="1">(AU227-AT227)/$AT$237</f>
        <v>8.8512837547926049E-3</v>
      </c>
      <c r="AX227" s="920">
        <f t="shared" ca="1" si="20"/>
        <v>2.2206166787873224E-2</v>
      </c>
      <c r="AY227" s="318">
        <f t="shared" ca="1" si="15"/>
        <v>1</v>
      </c>
    </row>
    <row r="228" spans="2:53" ht="15" hidden="1" customHeight="1">
      <c r="B228" s="29"/>
      <c r="C228" s="39"/>
      <c r="H228" s="23"/>
      <c r="AS228" s="918" t="str">
        <f t="shared" si="18"/>
        <v>P&amp;D e Eficiência Energética</v>
      </c>
      <c r="AT228" s="919">
        <f t="shared" ca="1" si="18"/>
        <v>0</v>
      </c>
      <c r="AU228" s="919">
        <f>Resultado!D22</f>
        <v>0</v>
      </c>
      <c r="AV228" s="920">
        <f>IF(AU228=0,0,ROUND(AU228/AT228-1,4))</f>
        <v>0</v>
      </c>
      <c r="AW228" s="920">
        <f ca="1">(AU228-AT228)/$AT$237</f>
        <v>0</v>
      </c>
      <c r="AX228" s="920">
        <f t="shared" ca="1" si="20"/>
        <v>0</v>
      </c>
      <c r="AY228" s="318">
        <v>0</v>
      </c>
    </row>
    <row r="229" spans="2:53" ht="15" hidden="1" customHeight="1">
      <c r="C229" s="340"/>
      <c r="H229" s="23"/>
      <c r="AS229" s="918" t="str">
        <f t="shared" si="18"/>
        <v>ONS</v>
      </c>
      <c r="AT229" s="919">
        <f t="shared" ca="1" si="18"/>
        <v>0</v>
      </c>
      <c r="AU229" s="919">
        <f>Resultado!D23</f>
        <v>0</v>
      </c>
      <c r="AV229" s="920">
        <f t="shared" si="14"/>
        <v>0</v>
      </c>
      <c r="AW229" s="920">
        <f ca="1">(AU229-AT229)/$AT$237</f>
        <v>0</v>
      </c>
      <c r="AX229" s="920">
        <f t="shared" ca="1" si="20"/>
        <v>0</v>
      </c>
      <c r="AY229" s="318">
        <v>0</v>
      </c>
    </row>
    <row r="230" spans="2:53" ht="15" customHeight="1">
      <c r="C230" s="307"/>
      <c r="H230" s="23"/>
      <c r="AS230" s="1094" t="s">
        <v>834</v>
      </c>
      <c r="AT230" s="1095">
        <f ca="1">AT231</f>
        <v>8645272.6082147211</v>
      </c>
      <c r="AU230" s="1095">
        <f ca="1">AU231</f>
        <v>6967276.8285375824</v>
      </c>
      <c r="AV230" s="1096">
        <f ca="1">IF(AU230=0,0,ROUND(AU230/AT230-1,4))</f>
        <v>-0.19409999999999999</v>
      </c>
      <c r="AW230" s="1096">
        <f ca="1">AW231</f>
        <v>-7.5461586662277785E-2</v>
      </c>
      <c r="AX230" s="1096">
        <f t="shared" ca="1" si="20"/>
        <v>0.26794123547614229</v>
      </c>
      <c r="AY230" s="318">
        <f t="shared" ca="1" si="15"/>
        <v>1</v>
      </c>
    </row>
    <row r="231" spans="2:53" ht="15" customHeight="1">
      <c r="C231" s="307"/>
      <c r="H231" s="23"/>
      <c r="AS231" s="918" t="s">
        <v>794</v>
      </c>
      <c r="AT231" s="919">
        <f ca="1">J86</f>
        <v>8645272.6082147211</v>
      </c>
      <c r="AU231" s="919">
        <f ca="1">Resultado!D33</f>
        <v>6967276.8285375824</v>
      </c>
      <c r="AV231" s="920">
        <f ca="1">IF(AU231=0,0,ROUND(AU231/AT231-1,4))</f>
        <v>-0.19409999999999999</v>
      </c>
      <c r="AW231" s="920">
        <f ca="1">(AU231-AT231)/$AT$237</f>
        <v>-7.5461586662277785E-2</v>
      </c>
      <c r="AX231" s="920">
        <f t="shared" ca="1" si="20"/>
        <v>0.26794123547614229</v>
      </c>
      <c r="AY231" s="318">
        <f t="shared" ca="1" si="15"/>
        <v>1</v>
      </c>
    </row>
    <row r="232" spans="2:53" ht="15" customHeight="1">
      <c r="AS232" s="1094" t="s">
        <v>835</v>
      </c>
      <c r="AT232" s="1095">
        <f ca="1">SUM(AT233:AT236)</f>
        <v>3237480.1830816967</v>
      </c>
      <c r="AU232" s="1095">
        <f>SUM(AU233:AU236)</f>
        <v>4210458.682</v>
      </c>
      <c r="AV232" s="1096">
        <f ca="1">IF(AU232=0,0,ROUND(AU232/AT232-1,4))</f>
        <v>0.30049999999999999</v>
      </c>
      <c r="AW232" s="1096">
        <f ca="1">SUM(AW233:AW236)</f>
        <v>4.3756070310727264E-2</v>
      </c>
      <c r="AX232" s="1096">
        <f t="shared" ca="1" si="20"/>
        <v>0.16192201471821344</v>
      </c>
      <c r="AY232" s="318">
        <f t="shared" ca="1" si="15"/>
        <v>1</v>
      </c>
    </row>
    <row r="233" spans="2:53" ht="15" hidden="1" customHeight="1">
      <c r="AS233" s="918" t="str">
        <f>Resultado!B25</f>
        <v>Rede Básica</v>
      </c>
      <c r="AT233" s="919">
        <f ca="1">J88</f>
        <v>0</v>
      </c>
      <c r="AU233" s="919">
        <f>Resultado!D25</f>
        <v>0</v>
      </c>
      <c r="AV233" s="920">
        <f>IF(AU233=0,0,ROUND(AU233/AT233-1,3))</f>
        <v>0</v>
      </c>
      <c r="AW233" s="920">
        <f ca="1">(AU233-AT233)/$AT$237</f>
        <v>0</v>
      </c>
      <c r="AX233" s="920">
        <f t="shared" ca="1" si="20"/>
        <v>0</v>
      </c>
      <c r="AY233" s="318">
        <f t="shared" ca="1" si="15"/>
        <v>0</v>
      </c>
    </row>
    <row r="234" spans="2:53" ht="15" hidden="1" customHeight="1">
      <c r="AS234" s="918" t="str">
        <f>Resultado!B26</f>
        <v>Rede Básica Fronteira</v>
      </c>
      <c r="AT234" s="919">
        <f ca="1">J89</f>
        <v>0</v>
      </c>
      <c r="AU234" s="919">
        <f>Resultado!D26</f>
        <v>0</v>
      </c>
      <c r="AV234" s="920">
        <f t="shared" si="14"/>
        <v>0</v>
      </c>
      <c r="AW234" s="920">
        <f ca="1">(AU234-AT234)/$AT$237</f>
        <v>0</v>
      </c>
      <c r="AX234" s="920">
        <f t="shared" ca="1" si="20"/>
        <v>0</v>
      </c>
      <c r="AY234" s="318">
        <f t="shared" ca="1" si="15"/>
        <v>0</v>
      </c>
    </row>
    <row r="235" spans="2:53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20"/>
        <v>0</v>
      </c>
      <c r="AY235" s="318">
        <f t="shared" ca="1" si="15"/>
        <v>0</v>
      </c>
    </row>
    <row r="236" spans="2:53" ht="15" customHeight="1">
      <c r="H236" s="23"/>
      <c r="AS236" s="918" t="str">
        <f>Resultado!B32</f>
        <v>Uso do sistema de distribuição</v>
      </c>
      <c r="AT236" s="919">
        <f ca="1">J95</f>
        <v>3237480.1830816967</v>
      </c>
      <c r="AU236" s="919">
        <f>Resultado!D32</f>
        <v>4210458.682</v>
      </c>
      <c r="AV236" s="920">
        <f ca="1">IF(AU236=0,0,ROUND(AU236/AT236-1,4))</f>
        <v>0.30049999999999999</v>
      </c>
      <c r="AW236" s="920">
        <f ca="1">(AU236-AT236)/$AT$237</f>
        <v>4.3756070310727264E-2</v>
      </c>
      <c r="AX236" s="920">
        <f t="shared" ca="1" si="20"/>
        <v>0.16192201471821344</v>
      </c>
      <c r="AY236" s="318">
        <f t="shared" ca="1" si="15"/>
        <v>1</v>
      </c>
    </row>
    <row r="237" spans="2:53" ht="15" hidden="1" customHeight="1">
      <c r="C237" s="19"/>
      <c r="AS237" s="1094" t="s">
        <v>836</v>
      </c>
      <c r="AT237" s="1095">
        <f ca="1">Mercado_RA0_Reais</f>
        <v>22236423.24388</v>
      </c>
      <c r="AU237" s="1095">
        <f ca="1">AU219+AU230+AU232+AU239</f>
        <v>26003003.293451462</v>
      </c>
      <c r="AV237" s="1097"/>
      <c r="AW237" s="1097"/>
      <c r="AX237" s="1096">
        <f t="shared" ca="1" si="20"/>
        <v>1</v>
      </c>
      <c r="AY237" s="318">
        <f t="shared" si="15"/>
        <v>0</v>
      </c>
      <c r="BA237" s="23">
        <f ca="1">Resultado!D34</f>
        <v>15721595.251911353</v>
      </c>
    </row>
    <row r="238" spans="2:53" ht="15" customHeight="1">
      <c r="C238" s="19"/>
      <c r="AS238" s="1098" t="s">
        <v>837</v>
      </c>
      <c r="AT238" s="1099">
        <f ca="1">AT219+AT230+AT232</f>
        <v>14743446.365708325</v>
      </c>
      <c r="AU238" s="1099">
        <f ca="1">AU219+AU230+AU232</f>
        <v>15721595.251911351</v>
      </c>
      <c r="AV238" s="1100">
        <f ca="1">IF(AU238=0,0,ROUND(AU238/AT238-1,4))</f>
        <v>6.6299999999999998E-2</v>
      </c>
      <c r="AW238" s="1100">
        <f ca="1">(AU238-AT238)/AT237</f>
        <v>4.3988589148312628E-2</v>
      </c>
      <c r="AX238" s="1100">
        <f t="shared" ca="1" si="20"/>
        <v>0.60460690153704832</v>
      </c>
      <c r="AY238" s="318">
        <f t="shared" ca="1" si="15"/>
        <v>1</v>
      </c>
      <c r="BA238" s="23">
        <f>LnkTXTIParcelaBcomSub</f>
        <v>10281408.04154011</v>
      </c>
    </row>
    <row r="239" spans="2:53" ht="15" customHeight="1">
      <c r="B239" s="28"/>
      <c r="C239" s="19"/>
      <c r="AS239" s="1098" t="s">
        <v>838</v>
      </c>
      <c r="AT239" s="1099">
        <f ca="1">AT237-AT238</f>
        <v>7492976.8781716749</v>
      </c>
      <c r="AU239" s="1099">
        <f>Resultado!D39</f>
        <v>10281408.04154011</v>
      </c>
      <c r="AV239" s="1100">
        <f ca="1">IF(AU239=0,0,ROUND(AU239/AT239-1,4))</f>
        <v>0.37209999999999999</v>
      </c>
      <c r="AW239" s="1100">
        <f ca="1">(AU239-AT239)/AT237</f>
        <v>0.12539926645513366</v>
      </c>
      <c r="AX239" s="1100">
        <f t="shared" ca="1" si="20"/>
        <v>0.39539309846295168</v>
      </c>
      <c r="AY239" s="318">
        <f t="shared" ca="1" si="15"/>
        <v>1</v>
      </c>
    </row>
    <row r="240" spans="2:53" ht="15" customHeight="1">
      <c r="AS240" s="1101" t="str">
        <f>Resultado!B7</f>
        <v>Variação econômica</v>
      </c>
      <c r="AT240" s="1101"/>
      <c r="AU240" s="1101"/>
      <c r="AV240" s="1102"/>
      <c r="AW240" s="1103">
        <f ca="1">ROUND((AU239+AU238)/(AT238+AT239)-1,4)</f>
        <v>0.1694</v>
      </c>
      <c r="AX240" s="1102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5"/>
        <v>0</v>
      </c>
    </row>
    <row r="242" spans="2:51" ht="15" customHeight="1">
      <c r="AS242" s="1094" t="s">
        <v>839</v>
      </c>
      <c r="AT242" s="1104"/>
      <c r="AU242" s="1104"/>
      <c r="AV242" s="1105"/>
      <c r="AW242" s="1096" t="s">
        <v>840</v>
      </c>
      <c r="AX242" s="1096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361363.94925395359</v>
      </c>
      <c r="AV243" s="926"/>
      <c r="AW243" s="926">
        <f ca="1">AU243/Financeiros!$D$4</f>
        <v>1.6250992585033191E-2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1">AM168</f>
        <v>Neutralidade Encargos Setoriais</v>
      </c>
      <c r="AT244" s="924"/>
      <c r="AU244" s="925">
        <f t="shared" ref="AU244:AU283" ca="1" si="22">AN168</f>
        <v>-157517.64035034197</v>
      </c>
      <c r="AV244" s="926"/>
      <c r="AW244" s="926">
        <f ca="1">AU244/Financeiros!$D$4</f>
        <v>-7.0837669630026776E-3</v>
      </c>
      <c r="AX244" s="923"/>
      <c r="AY244" s="318">
        <f t="shared" ref="AY244:AY252" ca="1" si="23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4" t="str">
        <f t="shared" si="21"/>
        <v>Neutralidade Financeiros e Encargos Conta Covid</v>
      </c>
      <c r="AT245" s="924"/>
      <c r="AU245" s="925">
        <f t="shared" ca="1" si="22"/>
        <v>0</v>
      </c>
      <c r="AV245" s="926"/>
      <c r="AW245" s="926">
        <f ca="1">AU245/Financeiros!$D$4</f>
        <v>0</v>
      </c>
      <c r="AX245" s="923"/>
      <c r="AY245" s="318">
        <f t="shared" ca="1" si="23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1"/>
        <v>Neutralidades Crédito de Pis cofins</v>
      </c>
      <c r="AT246" s="924"/>
      <c r="AU246" s="925">
        <f t="shared" ca="1" si="22"/>
        <v>0</v>
      </c>
      <c r="AV246" s="926"/>
      <c r="AW246" s="926">
        <f ca="1">AU246/Financeiros!$D$4</f>
        <v>0</v>
      </c>
      <c r="AX246" s="923"/>
      <c r="AY246" s="318">
        <f t="shared" ca="1" si="23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4" t="str">
        <f t="shared" si="21"/>
        <v>Ajuste CUST RB + PIS Cofins</v>
      </c>
      <c r="AT247" s="924"/>
      <c r="AU247" s="925">
        <f t="shared" si="22"/>
        <v>0</v>
      </c>
      <c r="AV247" s="926"/>
      <c r="AW247" s="926">
        <f ca="1">AU247/Financeiros!$D$4</f>
        <v>0</v>
      </c>
      <c r="AX247" s="923"/>
      <c r="AY247" s="318">
        <f t="shared" ca="1" si="23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1"/>
        <v>0</v>
      </c>
      <c r="AT248" s="924"/>
      <c r="AU248" s="925">
        <f t="shared" si="22"/>
        <v>0</v>
      </c>
      <c r="AV248" s="926"/>
      <c r="AW248" s="926">
        <f ca="1">AU248/Financeiros!$D$4</f>
        <v>0</v>
      </c>
      <c r="AX248" s="923"/>
      <c r="AY248" s="318">
        <f t="shared" ca="1" si="23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1"/>
        <v>0</v>
      </c>
      <c r="AT249" s="924"/>
      <c r="AU249" s="925">
        <f t="shared" si="22"/>
        <v>0</v>
      </c>
      <c r="AV249" s="926"/>
      <c r="AW249" s="926">
        <f ca="1">AU249/Financeiros!$D$4</f>
        <v>0</v>
      </c>
      <c r="AX249" s="923"/>
      <c r="AY249" s="318">
        <f t="shared" ca="1" si="23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1"/>
        <v>Manual de Contabilidade do Setor Elétrico</v>
      </c>
      <c r="AT250" s="924"/>
      <c r="AU250" s="925">
        <f t="shared" si="22"/>
        <v>0</v>
      </c>
      <c r="AV250" s="926"/>
      <c r="AW250" s="926">
        <f ca="1">AU250/Financeiros!$D$4</f>
        <v>0</v>
      </c>
      <c r="AX250" s="923"/>
      <c r="AY250" s="318">
        <f t="shared" ca="1" si="23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1"/>
        <v>Financeiro CDE Eletrobras</v>
      </c>
      <c r="AT251" s="924"/>
      <c r="AU251" s="925">
        <f t="shared" si="22"/>
        <v>0</v>
      </c>
      <c r="AV251" s="926"/>
      <c r="AW251" s="926">
        <f ca="1">AU251/Financeiros!$D$4</f>
        <v>0</v>
      </c>
      <c r="AX251" s="923"/>
      <c r="AY251" s="318">
        <f t="shared" ca="1" si="23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1"/>
        <v>Ajustes Processo Anterior</v>
      </c>
      <c r="AT252" s="924"/>
      <c r="AU252" s="925">
        <f t="shared" si="22"/>
        <v>0</v>
      </c>
      <c r="AV252" s="926"/>
      <c r="AW252" s="926">
        <f ca="1">AU252/Financeiros!$D$4</f>
        <v>0</v>
      </c>
      <c r="AX252" s="923"/>
      <c r="AY252" s="318">
        <f t="shared" ca="1" si="23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4" t="str">
        <f t="shared" si="21"/>
        <v>Compensação DIC FIC</v>
      </c>
      <c r="AT253" s="924"/>
      <c r="AU253" s="925">
        <f t="shared" si="22"/>
        <v>-37581.75597822346</v>
      </c>
      <c r="AV253" s="926"/>
      <c r="AW253" s="926">
        <f ca="1">AU253/Financeiros!$D$4</f>
        <v>-1.69009896807783E-3</v>
      </c>
      <c r="AX253" s="923"/>
      <c r="AY253" s="913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4" t="str">
        <f t="shared" si="21"/>
        <v>Subvenção CDE</v>
      </c>
      <c r="AT254" s="924"/>
      <c r="AU254" s="925">
        <f t="shared" ca="1" si="22"/>
        <v>-3622155.4467763063</v>
      </c>
      <c r="AV254" s="926"/>
      <c r="AW254" s="926">
        <f ca="1">AU254/Financeiros!$D$4</f>
        <v>-0.16289289905350271</v>
      </c>
      <c r="AX254" s="923"/>
      <c r="AY254" s="913">
        <f t="shared" ref="AY254:AY256" ca="1" si="24">IF(AW254=0,0,1)</f>
        <v>1</v>
      </c>
    </row>
    <row r="255" spans="2:51" ht="15" hidden="1" customHeight="1">
      <c r="B255" s="343"/>
      <c r="C255" s="344"/>
      <c r="D255" s="344"/>
      <c r="E255" s="344"/>
      <c r="F255" s="345"/>
      <c r="G255" s="345"/>
      <c r="H255" s="345"/>
      <c r="AS255" s="924" t="str">
        <f t="shared" si="21"/>
        <v>Retenção de Adicionais de Bandeiras Tarifárias</v>
      </c>
      <c r="AT255" s="924"/>
      <c r="AU255" s="925">
        <f t="shared" si="22"/>
        <v>0</v>
      </c>
      <c r="AV255" s="926"/>
      <c r="AW255" s="926">
        <f ca="1">AU255/Financeiros!$D$4</f>
        <v>0</v>
      </c>
      <c r="AX255" s="923"/>
      <c r="AY255" s="913">
        <f t="shared" ca="1" si="24"/>
        <v>0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1"/>
        <v>Multa LPT</v>
      </c>
      <c r="AT256" s="924"/>
      <c r="AU256" s="925">
        <f t="shared" si="22"/>
        <v>0</v>
      </c>
      <c r="AV256" s="926"/>
      <c r="AW256" s="926">
        <f ca="1">AU256/Financeiros!$D$4</f>
        <v>0</v>
      </c>
      <c r="AX256" s="923"/>
      <c r="AY256" s="913">
        <f t="shared" ca="1" si="24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1"/>
        <v>Repasse de ICMS</v>
      </c>
      <c r="AT257" s="924"/>
      <c r="AU257" s="925">
        <f t="shared" si="22"/>
        <v>0</v>
      </c>
      <c r="AV257" s="926"/>
      <c r="AW257" s="926">
        <f ca="1">AU257/Financeiros!$D$4</f>
        <v>0</v>
      </c>
      <c r="AX257" s="923"/>
      <c r="AY257" s="913">
        <f t="shared" ref="AY257:AY261" ca="1" si="25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>
        <f t="shared" si="21"/>
        <v>0</v>
      </c>
      <c r="AT258" s="924"/>
      <c r="AU258" s="925">
        <f t="shared" si="22"/>
        <v>0</v>
      </c>
      <c r="AV258" s="926"/>
      <c r="AW258" s="926">
        <f ca="1">AU258/Financeiros!$D$4</f>
        <v>0</v>
      </c>
      <c r="AX258" s="923"/>
      <c r="AY258" s="913">
        <f t="shared" ref="AY258:AY260" ca="1" si="26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1"/>
        <v>Ressarcimento P&amp;D</v>
      </c>
      <c r="AT259" s="924"/>
      <c r="AU259" s="925">
        <f t="shared" si="22"/>
        <v>0</v>
      </c>
      <c r="AV259" s="926"/>
      <c r="AW259" s="926">
        <f ca="1">AU259/Financeiros!$D$4</f>
        <v>0</v>
      </c>
      <c r="AX259" s="923"/>
      <c r="AY259" s="913">
        <f t="shared" ca="1" si="26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1"/>
        <v>Efeito Conta COVID</v>
      </c>
      <c r="AT260" s="924"/>
      <c r="AU260" s="925">
        <f t="shared" si="22"/>
        <v>0</v>
      </c>
      <c r="AV260" s="926"/>
      <c r="AW260" s="926">
        <f ca="1">AU260/Financeiros!$D$4</f>
        <v>0</v>
      </c>
      <c r="AX260" s="923"/>
      <c r="AY260" s="913">
        <f t="shared" ca="1" si="26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4" t="str">
        <f t="shared" si="21"/>
        <v>Diferimento de Parcela B</v>
      </c>
      <c r="AT261" s="924"/>
      <c r="AU261" s="925">
        <f t="shared" si="22"/>
        <v>0</v>
      </c>
      <c r="AV261" s="926"/>
      <c r="AW261" s="926">
        <f ca="1">AU261/Financeiros!$D$4</f>
        <v>0</v>
      </c>
      <c r="AX261" s="923"/>
      <c r="AY261" s="913">
        <f t="shared" ca="1" si="25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1"/>
        <v>Efeito COVID da Supridora</v>
      </c>
      <c r="AT262" s="924"/>
      <c r="AU262" s="925">
        <f t="shared" si="22"/>
        <v>0</v>
      </c>
      <c r="AV262" s="926"/>
      <c r="AW262" s="926">
        <f ca="1">AU262/Financeiros!$D$4</f>
        <v>0</v>
      </c>
      <c r="AX262" s="923"/>
      <c r="AY262" s="916">
        <f t="shared" ref="AY262:AY263" ca="1" si="27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1"/>
        <v>Crédito de Pis Cofins sobre ICMS</v>
      </c>
      <c r="AT263" s="924"/>
      <c r="AU263" s="925">
        <f t="shared" si="22"/>
        <v>0</v>
      </c>
      <c r="AV263" s="926"/>
      <c r="AW263" s="926">
        <f ca="1">AU263/Financeiros!$D$4</f>
        <v>0</v>
      </c>
      <c r="AX263" s="923"/>
      <c r="AY263" s="916">
        <f t="shared" ca="1" si="27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4" t="str">
        <f t="shared" si="21"/>
        <v>Diferimento PIS COFINS</v>
      </c>
      <c r="AT264" s="924"/>
      <c r="AU264" s="925">
        <f t="shared" si="22"/>
        <v>0</v>
      </c>
      <c r="AV264" s="926"/>
      <c r="AW264" s="926">
        <f ca="1">AU264/Financeiros!$D$4</f>
        <v>0</v>
      </c>
      <c r="AX264" s="923"/>
      <c r="AY264" s="916">
        <f t="shared" ref="AY264:AY271" ca="1" si="28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>
        <f t="shared" si="21"/>
        <v>0</v>
      </c>
      <c r="AT265" s="924"/>
      <c r="AU265" s="925">
        <f t="shared" si="22"/>
        <v>0</v>
      </c>
      <c r="AV265" s="926"/>
      <c r="AW265" s="926">
        <f ca="1">AU265/Financeiros!$D$4</f>
        <v>0</v>
      </c>
      <c r="AX265" s="923"/>
      <c r="AY265" s="916">
        <f t="shared" ca="1" si="28"/>
        <v>0</v>
      </c>
    </row>
    <row r="266" spans="2:51" ht="15" customHeight="1">
      <c r="B266" s="343"/>
      <c r="C266" s="344"/>
      <c r="D266" s="344"/>
      <c r="E266" s="344"/>
      <c r="F266" s="345"/>
      <c r="G266" s="345"/>
      <c r="H266" s="345"/>
      <c r="AS266" s="924" t="str">
        <f t="shared" si="21"/>
        <v>Financeiros associados ao §7º do Art. 88 da Ren 414/2021</v>
      </c>
      <c r="AT266" s="924"/>
      <c r="AU266" s="925">
        <f t="shared" si="22"/>
        <v>-4199.08</v>
      </c>
      <c r="AV266" s="926"/>
      <c r="AW266" s="926">
        <f ca="1">AU266/Financeiros!$D$4</f>
        <v>-1.8883792388488954E-4</v>
      </c>
      <c r="AX266" s="923"/>
      <c r="AY266" s="916">
        <f t="shared" ca="1" si="28"/>
        <v>1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4" t="str">
        <f t="shared" si="21"/>
        <v>Spread Conta Covid</v>
      </c>
      <c r="AT267" s="924"/>
      <c r="AU267" s="925">
        <f t="shared" si="22"/>
        <v>0</v>
      </c>
      <c r="AV267" s="926"/>
      <c r="AW267" s="926">
        <f ca="1">AU267/Financeiros!$D$4</f>
        <v>0</v>
      </c>
      <c r="AX267" s="923"/>
      <c r="AY267" s="916">
        <f t="shared" ca="1" si="28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1"/>
        <v>Diferimento de Energia</v>
      </c>
      <c r="AT268" s="924"/>
      <c r="AU268" s="925">
        <f t="shared" si="22"/>
        <v>0</v>
      </c>
      <c r="AV268" s="926"/>
      <c r="AW268" s="926">
        <f ca="1">AU268/Financeiros!$D$4</f>
        <v>0</v>
      </c>
      <c r="AX268" s="923"/>
      <c r="AY268" s="916">
        <f t="shared" ca="1" si="28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1"/>
        <v xml:space="preserve">Reversão do Diferimento de Compra de Energia </v>
      </c>
      <c r="AT269" s="924"/>
      <c r="AU269" s="925">
        <f t="shared" si="22"/>
        <v>0</v>
      </c>
      <c r="AV269" s="926"/>
      <c r="AW269" s="926">
        <f ca="1">AU269/Financeiros!$D$4</f>
        <v>0</v>
      </c>
      <c r="AX269" s="923"/>
      <c r="AY269" s="916">
        <f t="shared" ca="1" si="28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1"/>
        <v>Reversão do Diferimento de Parcela B</v>
      </c>
      <c r="AT270" s="924"/>
      <c r="AU270" s="925">
        <f t="shared" si="22"/>
        <v>0</v>
      </c>
      <c r="AV270" s="926"/>
      <c r="AW270" s="926">
        <f ca="1">AU270/Financeiros!$D$4</f>
        <v>0</v>
      </c>
      <c r="AX270" s="923"/>
      <c r="AY270" s="916">
        <f t="shared" ca="1" si="28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4" t="str">
        <f t="shared" si="21"/>
        <v>Reversão do Diferimento de Pis Confins</v>
      </c>
      <c r="AT271" s="924"/>
      <c r="AU271" s="925">
        <f t="shared" si="22"/>
        <v>0</v>
      </c>
      <c r="AV271" s="926"/>
      <c r="AW271" s="926">
        <f ca="1">AU271/Financeiros!$D$4</f>
        <v>0</v>
      </c>
      <c r="AX271" s="923"/>
      <c r="AY271" s="916">
        <f t="shared" ca="1" si="28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>
        <f t="shared" ref="AS272:AS276" si="29">AM196</f>
        <v>0</v>
      </c>
      <c r="AT272" s="924"/>
      <c r="AU272" s="925">
        <f t="shared" si="22"/>
        <v>0</v>
      </c>
      <c r="AV272" s="926"/>
      <c r="AW272" s="926">
        <f ca="1">AU272/Financeiros!$D$4</f>
        <v>0</v>
      </c>
      <c r="AX272" s="923"/>
      <c r="AY272" s="913">
        <f t="shared" ref="AY272:AY276" ca="1" si="30">IF(AW272=0,0,1)</f>
        <v>0</v>
      </c>
    </row>
    <row r="273" spans="2:53" ht="15" customHeight="1">
      <c r="B273" s="343"/>
      <c r="C273" s="344"/>
      <c r="D273" s="344"/>
      <c r="E273" s="344"/>
      <c r="F273" s="345"/>
      <c r="G273" s="345"/>
      <c r="H273" s="345"/>
      <c r="AS273" s="924" t="str">
        <f t="shared" si="29"/>
        <v>CVE - Energia</v>
      </c>
      <c r="AT273" s="924"/>
      <c r="AU273" s="925">
        <f t="shared" ca="1" si="22"/>
        <v>-11325.545499999998</v>
      </c>
      <c r="AV273" s="926"/>
      <c r="AW273" s="926">
        <f ca="1">AU273/Financeiros!$D$4</f>
        <v>-5.0932406600585195E-4</v>
      </c>
      <c r="AX273" s="923"/>
      <c r="AY273" s="913">
        <f t="shared" ca="1" si="30"/>
        <v>1</v>
      </c>
    </row>
    <row r="274" spans="2:53" ht="15" customHeight="1">
      <c r="B274" s="343"/>
      <c r="C274" s="344"/>
      <c r="D274" s="344"/>
      <c r="E274" s="344"/>
      <c r="F274" s="345"/>
      <c r="G274" s="345"/>
      <c r="H274" s="345"/>
      <c r="AS274" s="924" t="str">
        <f t="shared" si="29"/>
        <v>CVE - Encargos</v>
      </c>
      <c r="AT274" s="924"/>
      <c r="AU274" s="925">
        <f t="shared" si="22"/>
        <v>152472.49830000001</v>
      </c>
      <c r="AV274" s="926"/>
      <c r="AW274" s="926">
        <f ca="1">AU274/Financeiros!$D$4</f>
        <v>6.8568805615788105E-3</v>
      </c>
      <c r="AX274" s="923"/>
      <c r="AY274" s="913">
        <f t="shared" ca="1" si="30"/>
        <v>1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4" t="str">
        <f t="shared" si="29"/>
        <v>Conta Escassez</v>
      </c>
      <c r="AT275" s="924"/>
      <c r="AU275" s="925">
        <f t="shared" ca="1" si="22"/>
        <v>0</v>
      </c>
      <c r="AV275" s="926"/>
      <c r="AW275" s="926">
        <f ca="1">AU275/Financeiros!$D$4</f>
        <v>0</v>
      </c>
      <c r="AX275" s="923"/>
      <c r="AY275" s="913">
        <f t="shared" ca="1" si="30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>
        <f t="shared" si="29"/>
        <v>0</v>
      </c>
      <c r="AT276" s="924"/>
      <c r="AU276" s="925">
        <f t="shared" si="22"/>
        <v>0</v>
      </c>
      <c r="AV276" s="926"/>
      <c r="AW276" s="926">
        <f ca="1">AU276/Financeiros!$D$4</f>
        <v>0</v>
      </c>
      <c r="AX276" s="923"/>
      <c r="AY276" s="913">
        <f t="shared" ca="1" si="30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>
        <f t="shared" ref="AS277:AS281" si="31">AM201</f>
        <v>0</v>
      </c>
      <c r="AT277" s="924"/>
      <c r="AU277" s="925">
        <f t="shared" si="22"/>
        <v>0</v>
      </c>
      <c r="AV277" s="926"/>
      <c r="AW277" s="926">
        <f ca="1">AU277/Financeiros!$D$4</f>
        <v>0</v>
      </c>
      <c r="AX277" s="923"/>
      <c r="AY277" s="913">
        <f t="shared" ref="AY277:AY281" ca="1" si="32">IF(AW277=0,0,1)</f>
        <v>0</v>
      </c>
    </row>
    <row r="278" spans="2:53" ht="15" customHeight="1">
      <c r="B278" s="343"/>
      <c r="C278" s="344"/>
      <c r="D278" s="344"/>
      <c r="E278" s="344"/>
      <c r="F278" s="345"/>
      <c r="G278" s="345"/>
      <c r="H278" s="345"/>
      <c r="AS278" s="924" t="str">
        <f t="shared" si="31"/>
        <v>Sobrecontratação/Exposição de Energia</v>
      </c>
      <c r="AT278" s="924"/>
      <c r="AU278" s="925">
        <f t="shared" ca="1" si="22"/>
        <v>-212450.83619999999</v>
      </c>
      <c r="AV278" s="926"/>
      <c r="AW278" s="926">
        <f ca="1">AU278/Financeiros!$D$4</f>
        <v>-9.5541820674092254E-3</v>
      </c>
      <c r="AX278" s="923"/>
      <c r="AY278" s="913">
        <f t="shared" ca="1" si="32"/>
        <v>1</v>
      </c>
    </row>
    <row r="279" spans="2:53" ht="15" customHeight="1">
      <c r="B279" s="343"/>
      <c r="C279" s="344"/>
      <c r="D279" s="344"/>
      <c r="E279" s="344"/>
      <c r="F279" s="345"/>
      <c r="G279" s="345"/>
      <c r="H279" s="345"/>
      <c r="AS279" s="924" t="str">
        <f t="shared" si="31"/>
        <v>Reversão de Risco Hidrológico</v>
      </c>
      <c r="AT279" s="924"/>
      <c r="AU279" s="925">
        <f t="shared" ca="1" si="22"/>
        <v>-530121.38492414192</v>
      </c>
      <c r="AV279" s="926"/>
      <c r="AW279" s="926">
        <f ca="1">AU279/Financeiros!$D$4</f>
        <v>-2.3840227320283812E-2</v>
      </c>
      <c r="AX279" s="923"/>
      <c r="AY279" s="913">
        <f t="shared" ca="1" si="32"/>
        <v>1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4" t="str">
        <f t="shared" si="31"/>
        <v>Previsão de Risco Hidrologico</v>
      </c>
      <c r="AT280" s="924"/>
      <c r="AU280" s="925">
        <f t="shared" ca="1" si="22"/>
        <v>631757.21968886943</v>
      </c>
      <c r="AV280" s="926"/>
      <c r="AW280" s="926">
        <f ca="1">AU280/Financeiros!$D$4</f>
        <v>2.8410919002575842E-2</v>
      </c>
      <c r="AX280" s="923"/>
      <c r="AY280" s="913">
        <f t="shared" ca="1" si="32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 t="str">
        <f t="shared" si="31"/>
        <v xml:space="preserve">Diferimento da Previsão do Risco Hidrológico </v>
      </c>
      <c r="AT281" s="924"/>
      <c r="AU281" s="925">
        <f t="shared" si="22"/>
        <v>0</v>
      </c>
      <c r="AV281" s="926"/>
      <c r="AW281" s="926">
        <f ca="1">AU281/Financeiros!$D$4</f>
        <v>0</v>
      </c>
      <c r="AX281" s="923"/>
      <c r="AY281" s="913">
        <f t="shared" ca="1" si="32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4" t="str">
        <f t="shared" ref="AS282:AS283" si="33">AM206</f>
        <v xml:space="preserve">Diferimento CUSD </v>
      </c>
      <c r="AT282" s="924"/>
      <c r="AU282" s="925">
        <f t="shared" si="22"/>
        <v>0</v>
      </c>
      <c r="AV282" s="926"/>
      <c r="AW282" s="926">
        <f ca="1">AU282/Financeiros!$D$4</f>
        <v>0</v>
      </c>
      <c r="AX282" s="923"/>
      <c r="AY282" s="913">
        <f t="shared" ref="AY282:AY283" ca="1" si="34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3"/>
        <v>0</v>
      </c>
      <c r="AT283" s="924"/>
      <c r="AU283" s="925">
        <f t="shared" si="22"/>
        <v>0</v>
      </c>
      <c r="AV283" s="926"/>
      <c r="AW283" s="926">
        <f ca="1">AU283/Financeiros!$D$4</f>
        <v>0</v>
      </c>
      <c r="AX283" s="923"/>
      <c r="AY283" s="913">
        <f t="shared" ca="1" si="34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1" t="s">
        <v>841</v>
      </c>
      <c r="AT284" s="1101"/>
      <c r="AU284" s="1767">
        <f ca="1">SUM(AU243:AU283)</f>
        <v>-3429758.0224861898</v>
      </c>
      <c r="AV284" s="1107"/>
      <c r="AW284" s="1107">
        <f ca="1">ROUND(SUM(AW243:AW283),4)</f>
        <v>-0.1542</v>
      </c>
      <c r="AX284" s="1107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8" t="str">
        <f>Resultado!B9</f>
        <v>Variação econômica e financeira</v>
      </c>
      <c r="AT285" s="1108"/>
      <c r="AU285" s="1108"/>
      <c r="AV285" s="1109"/>
      <c r="AW285" s="1109">
        <f ca="1">ROUND(AW240+AW284,4)</f>
        <v>1.52E-2</v>
      </c>
      <c r="AX285" s="1109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1" t="s">
        <v>842</v>
      </c>
      <c r="AT286" s="1101"/>
      <c r="AU286" s="1101"/>
      <c r="AV286" s="1101"/>
      <c r="AW286" s="1110">
        <f ca="1">ROUND(AW288-AW285,4)</f>
        <v>0.11840000000000001</v>
      </c>
      <c r="AX286" s="1110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1" t="s">
        <v>843</v>
      </c>
      <c r="AT287" s="1111"/>
      <c r="AU287" s="1106"/>
      <c r="AV287" s="1106"/>
      <c r="AW287" s="1112">
        <v>0</v>
      </c>
      <c r="AX287" s="1113"/>
      <c r="AY287" s="318">
        <f t="shared" si="15"/>
        <v>0</v>
      </c>
      <c r="BA287" s="771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8" t="s">
        <v>844</v>
      </c>
      <c r="AT288" s="1838"/>
      <c r="AU288" s="1838"/>
      <c r="AV288" s="1838"/>
      <c r="AW288" s="1109">
        <f>Resultado!L5</f>
        <v>0.13355369294285313</v>
      </c>
      <c r="AX288" s="1109"/>
      <c r="AY288" s="318"/>
    </row>
    <row r="289" spans="2:84" ht="15" customHeight="1">
      <c r="AW289" s="773">
        <v>-0.1116</v>
      </c>
      <c r="BA289" s="1092" t="s">
        <v>845</v>
      </c>
      <c r="BB289" s="30" t="s">
        <v>846</v>
      </c>
      <c r="BC289" s="30"/>
      <c r="BD289" s="30"/>
      <c r="BE289" s="30"/>
      <c r="BF289" s="30"/>
      <c r="BG289" s="30"/>
      <c r="BH289" s="303" t="s">
        <v>771</v>
      </c>
      <c r="BI289" s="303" t="s">
        <v>771</v>
      </c>
    </row>
    <row r="290" spans="2:84" ht="45" customHeight="1">
      <c r="AU290" s="413"/>
      <c r="BA290" s="929" t="s">
        <v>847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848</v>
      </c>
      <c r="BE290" s="929" t="s">
        <v>849</v>
      </c>
      <c r="BF290" s="929" t="s">
        <v>850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724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0</v>
      </c>
      <c r="BG291" s="930">
        <f t="shared" ref="BG291:BH296" si="35">BQ311</f>
        <v>0</v>
      </c>
      <c r="BH291" s="930">
        <f t="shared" si="35"/>
        <v>0</v>
      </c>
      <c r="BI291" s="352" t="e">
        <f>Indexador!#REF!</f>
        <v>#REF!</v>
      </c>
      <c r="BJ291" s="333">
        <f t="shared" ref="BJ291:BJ297" si="36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7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8">BP312</f>
        <v>0</v>
      </c>
      <c r="BG292" s="931">
        <f t="shared" si="35"/>
        <v>0</v>
      </c>
      <c r="BH292" s="931">
        <f t="shared" si="35"/>
        <v>0</v>
      </c>
      <c r="BI292" s="352" t="e">
        <f>Indexador!#REF!</f>
        <v>#REF!</v>
      </c>
      <c r="BJ292" s="333">
        <f t="shared" si="36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7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8"/>
        <v>0</v>
      </c>
      <c r="BG293" s="931">
        <f t="shared" si="35"/>
        <v>0</v>
      </c>
      <c r="BH293" s="931">
        <f t="shared" si="35"/>
        <v>0</v>
      </c>
      <c r="BI293" s="352" t="e">
        <f>Indexador!#REF!</f>
        <v>#REF!</v>
      </c>
      <c r="BJ293" s="333">
        <f t="shared" si="36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U294" s="23">
        <f ca="1">Financeiros!D7</f>
        <v>-3429758.0224861898</v>
      </c>
      <c r="AW294" s="25">
        <f ca="1">lnktxttotalfin</f>
        <v>-0.15424054421297911</v>
      </c>
      <c r="AZ294" s="353"/>
      <c r="BA294" s="436" t="str">
        <f t="shared" si="37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8"/>
        <v>22.561737368423866</v>
      </c>
      <c r="BG294" s="931">
        <f t="shared" si="35"/>
        <v>378.59281725175128</v>
      </c>
      <c r="BH294" s="931">
        <f t="shared" si="35"/>
        <v>401.15455462017513</v>
      </c>
      <c r="BI294" s="352" t="e">
        <f>Indexador!#REF!</f>
        <v>#REF!</v>
      </c>
      <c r="BJ294" s="333">
        <f t="shared" si="36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7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8"/>
        <v>-4440.1962319815357</v>
      </c>
      <c r="BG295" s="931">
        <f t="shared" si="35"/>
        <v>17338.943952441998</v>
      </c>
      <c r="BH295" s="931">
        <f t="shared" si="35"/>
        <v>12898.747720460462</v>
      </c>
      <c r="BI295" s="352" t="e">
        <f>Indexador!#REF!</f>
        <v>#REF!</v>
      </c>
      <c r="BJ295" s="333">
        <f t="shared" si="36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7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8"/>
        <v>901.522222653835</v>
      </c>
      <c r="BG296" s="931">
        <f t="shared" si="35"/>
        <v>2827.732086121965</v>
      </c>
      <c r="BH296" s="931">
        <f t="shared" si="35"/>
        <v>3729.2543087757999</v>
      </c>
      <c r="BI296" s="352" t="e">
        <f>Indexador!#REF!</f>
        <v>#REF!</v>
      </c>
      <c r="BJ296" s="333">
        <f t="shared" si="36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1" t="s">
        <v>758</v>
      </c>
      <c r="BB297" s="1114" t="e">
        <f t="shared" ref="BB297:BI297" si="39">SUM(BB291:BB296)</f>
        <v>#REF!</v>
      </c>
      <c r="BC297" s="1114" t="e">
        <f t="shared" si="39"/>
        <v>#REF!</v>
      </c>
      <c r="BD297" s="1114" t="e">
        <f t="shared" si="39"/>
        <v>#REF!</v>
      </c>
      <c r="BE297" s="1114" t="e">
        <f t="shared" si="39"/>
        <v>#REF!</v>
      </c>
      <c r="BF297" s="1115">
        <f t="shared" si="39"/>
        <v>-3516.1122719592772</v>
      </c>
      <c r="BG297" s="1115">
        <f t="shared" si="39"/>
        <v>20545.268855815717</v>
      </c>
      <c r="BH297" s="1115">
        <f t="shared" si="39"/>
        <v>17029.156583856438</v>
      </c>
      <c r="BI297" s="1116" t="e">
        <f t="shared" si="39"/>
        <v>#REF!</v>
      </c>
      <c r="BJ297" s="335">
        <f t="shared" si="36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2" t="s">
        <v>635</v>
      </c>
      <c r="BL298" s="353"/>
      <c r="BM298" s="303" t="s">
        <v>771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7" t="s">
        <v>851</v>
      </c>
      <c r="BL299" s="1117" t="s">
        <v>791</v>
      </c>
      <c r="BM299" s="1117" t="s">
        <v>828</v>
      </c>
      <c r="BN299" s="462" t="s">
        <v>724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0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0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716</v>
      </c>
      <c r="BL302" s="355"/>
      <c r="BM302" s="355"/>
      <c r="BN302" s="333">
        <f t="shared" si="40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717</v>
      </c>
      <c r="BL303" s="355"/>
      <c r="BM303" s="355"/>
      <c r="BN303" s="333">
        <f t="shared" si="40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718</v>
      </c>
      <c r="BL304" s="355"/>
      <c r="BM304" s="355"/>
      <c r="BN304" s="333">
        <f t="shared" si="40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719</v>
      </c>
      <c r="BL305" s="355"/>
      <c r="BM305" s="355"/>
      <c r="BN305" s="333">
        <f t="shared" si="40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0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0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8" t="s">
        <v>852</v>
      </c>
      <c r="BL308" s="1116">
        <f ca="1">SUM(BL300:BL307)</f>
        <v>0</v>
      </c>
      <c r="BM308" s="1116">
        <f>SUM(BM300:BM307)</f>
        <v>0</v>
      </c>
      <c r="BN308" s="333">
        <f ca="1">IF(BL308=0,0,1)</f>
        <v>0</v>
      </c>
      <c r="BO308" s="1092" t="s">
        <v>853</v>
      </c>
      <c r="BP308" s="353"/>
      <c r="BQ308" s="353"/>
      <c r="BR308" s="303" t="s">
        <v>771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(Cejama).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9" t="s">
        <v>854</v>
      </c>
      <c r="BP310" s="1119" t="s">
        <v>855</v>
      </c>
      <c r="BQ310" s="1119" t="s">
        <v>856</v>
      </c>
      <c r="BR310" s="1120" t="s">
        <v>857</v>
      </c>
      <c r="BS310" s="404" t="s">
        <v>724</v>
      </c>
      <c r="BU310" s="353"/>
      <c r="BV310" s="353"/>
      <c r="BW310" s="303" t="s">
        <v>771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1" t="s">
        <v>858</v>
      </c>
      <c r="BP311" s="1122">
        <f>IFERROR(Aj.Subsídio!L5,0)</f>
        <v>0</v>
      </c>
      <c r="BQ311" s="1122">
        <f>IFERROR(Aj.Subsídio!M5,0)</f>
        <v>0</v>
      </c>
      <c r="BR311" s="1122">
        <f t="shared" ref="BR311:BR317" si="41">BP311+BQ311</f>
        <v>0</v>
      </c>
      <c r="BS311" s="405">
        <f t="shared" ref="BS311:BS317" si="42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1" t="s">
        <v>859</v>
      </c>
      <c r="BP312" s="1122">
        <f>IFERROR(Aj.Subsídio!L6,0)</f>
        <v>0</v>
      </c>
      <c r="BQ312" s="1122">
        <f>IFERROR(Aj.Subsídio!M6,0)</f>
        <v>0</v>
      </c>
      <c r="BR312" s="1123">
        <f t="shared" si="41"/>
        <v>0</v>
      </c>
      <c r="BS312" s="358">
        <f t="shared" si="42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1" t="s">
        <v>860</v>
      </c>
      <c r="BP313" s="1122">
        <f>IFERROR(Aj.Subsídio!L7,0)</f>
        <v>0</v>
      </c>
      <c r="BQ313" s="1122">
        <f>IFERROR(Aj.Subsídio!M7,0)</f>
        <v>0</v>
      </c>
      <c r="BR313" s="1123">
        <f t="shared" si="41"/>
        <v>0</v>
      </c>
      <c r="BS313" s="358">
        <f t="shared" si="42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1" t="s">
        <v>861</v>
      </c>
      <c r="BP314" s="1122">
        <f>IFERROR(Aj.Subsídio!L8,0)</f>
        <v>22.561737368423866</v>
      </c>
      <c r="BQ314" s="1122">
        <f>IFERROR(Aj.Subsídio!M8,0)</f>
        <v>378.59281725175128</v>
      </c>
      <c r="BR314" s="1123">
        <f t="shared" si="41"/>
        <v>401.15455462017513</v>
      </c>
      <c r="BS314" s="358">
        <f t="shared" si="42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1" t="s">
        <v>862</v>
      </c>
      <c r="BP315" s="1122">
        <f>IFERROR(Aj.Subsídio!L9,0)</f>
        <v>-4440.1962319815357</v>
      </c>
      <c r="BQ315" s="1122">
        <f>IFERROR(Aj.Subsídio!M9,0)</f>
        <v>17338.943952441998</v>
      </c>
      <c r="BR315" s="1123">
        <f t="shared" si="41"/>
        <v>12898.747720460462</v>
      </c>
      <c r="BS315" s="358">
        <f t="shared" si="42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1" t="s">
        <v>863</v>
      </c>
      <c r="BP316" s="1122">
        <f>IFERROR(Aj.Subsídio!L10,0)</f>
        <v>901.522222653835</v>
      </c>
      <c r="BQ316" s="1122">
        <f>IFERROR(Aj.Subsídio!M10,0)</f>
        <v>2827.732086121965</v>
      </c>
      <c r="BR316" s="1123">
        <f t="shared" si="41"/>
        <v>3729.2543087757999</v>
      </c>
      <c r="BS316" s="358">
        <f t="shared" si="42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4" t="s">
        <v>767</v>
      </c>
      <c r="BP317" s="1122">
        <f>SUM(BP311:BP316)</f>
        <v>-3516.1122719592772</v>
      </c>
      <c r="BQ317" s="1122">
        <f>SUM(BQ311:BQ316)</f>
        <v>20545.268855815717</v>
      </c>
      <c r="BR317" s="1123">
        <f t="shared" si="41"/>
        <v>17029.156583856438</v>
      </c>
      <c r="BS317" s="405">
        <f t="shared" si="42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864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865</v>
      </c>
      <c r="BW319" s="60" t="s">
        <v>866</v>
      </c>
      <c r="BY319" s="23" t="s">
        <v>724</v>
      </c>
      <c r="BZ319" s="651" t="s">
        <v>867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</v>
      </c>
      <c r="BW320" s="420">
        <f>Energia!F28</f>
        <v>0</v>
      </c>
      <c r="BY320" s="23">
        <f t="shared" ref="BY320:BY326" si="43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3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3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3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3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3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3"/>
        <v>#REF!</v>
      </c>
      <c r="BZ326" s="652" t="s">
        <v>633</v>
      </c>
      <c r="CB326" s="303" t="s">
        <v>771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5" t="s">
        <v>633</v>
      </c>
      <c r="CA327" s="1126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868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7" t="s">
        <v>869</v>
      </c>
      <c r="CA329" s="1128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2"/>
      <c r="C338" s="1832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2"/>
      <c r="C344" s="1832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2"/>
      <c r="C353" s="1832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B1" zoomScale="85" zoomScaleNormal="85" workbookViewId="0">
      <selection activeCell="E4" sqref="E4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596" customWidth="1"/>
    <col min="7" max="7" width="47.85546875" style="1596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2" t="s">
        <v>722</v>
      </c>
      <c r="D1" s="1302"/>
      <c r="E1" s="1303"/>
      <c r="F1" s="1589"/>
      <c r="G1" s="1702"/>
      <c r="H1" s="1701"/>
      <c r="I1" s="1587"/>
      <c r="J1" s="1598" t="s">
        <v>871</v>
      </c>
      <c r="K1" s="1229">
        <f ca="1">LnkTXTIRTEco</f>
        <v>0.1694</v>
      </c>
      <c r="L1" s="1587"/>
      <c r="M1" s="1587"/>
    </row>
    <row r="2" spans="3:23" ht="16.5">
      <c r="C2" s="620" t="str">
        <f>CAPA!B2</f>
        <v>Cejama</v>
      </c>
      <c r="D2" s="622"/>
      <c r="E2" s="903"/>
      <c r="F2" s="1590"/>
      <c r="G2" s="1698" t="s">
        <v>2257</v>
      </c>
      <c r="H2" s="1703">
        <f ca="1">LnkTXTEV/LnkTXTER</f>
        <v>0.9545926927705275</v>
      </c>
      <c r="I2" s="903"/>
      <c r="J2" s="1599" t="s">
        <v>875</v>
      </c>
      <c r="K2" s="1600">
        <f ca="1">LnkTXTIRTTotal</f>
        <v>1.52E-2</v>
      </c>
      <c r="L2" s="903"/>
      <c r="M2" s="903"/>
    </row>
    <row r="3" spans="3:23" ht="16.5">
      <c r="C3" s="624"/>
      <c r="D3" s="622"/>
      <c r="E3" s="903"/>
      <c r="F3" s="1590"/>
      <c r="G3" s="1699" t="s">
        <v>2259</v>
      </c>
      <c r="H3" s="1704">
        <f ca="1">Energia!D10/LnkTXTER</f>
        <v>0</v>
      </c>
      <c r="I3" s="903"/>
      <c r="J3" s="903"/>
      <c r="K3" s="903"/>
      <c r="L3" s="903"/>
      <c r="M3" s="903"/>
    </row>
    <row r="4" spans="3:23" ht="16.5">
      <c r="C4" s="1304" t="s">
        <v>1276</v>
      </c>
      <c r="D4" s="1777">
        <f ca="1">LnkTXTRA0</f>
        <v>22236423.24388</v>
      </c>
      <c r="E4" s="904"/>
      <c r="F4" s="1591"/>
      <c r="G4" s="1699" t="s">
        <v>2262</v>
      </c>
      <c r="H4" s="1704">
        <f ca="1">Energia!D11/LnkTXTER</f>
        <v>6.5647545007949384E-3</v>
      </c>
      <c r="I4" s="904"/>
      <c r="J4" s="904"/>
      <c r="K4" s="904"/>
      <c r="L4" s="904"/>
      <c r="M4" s="904"/>
    </row>
    <row r="5" spans="3:23" ht="16.5">
      <c r="C5" s="1305" t="s">
        <v>1277</v>
      </c>
      <c r="D5" s="1778">
        <f ca="1">D7</f>
        <v>-3429758.0224861898</v>
      </c>
      <c r="E5" s="905"/>
      <c r="F5" s="1592"/>
      <c r="G5" s="1699" t="s">
        <v>2260</v>
      </c>
      <c r="H5" s="1704">
        <f ca="1">Energia!D12/LnkTXTER</f>
        <v>2.6529662083133164E-4</v>
      </c>
      <c r="I5" s="905"/>
      <c r="J5" s="905"/>
      <c r="K5" s="905"/>
      <c r="L5" s="905"/>
      <c r="M5" s="905"/>
    </row>
    <row r="6" spans="3:23" ht="16.5">
      <c r="C6" s="623"/>
      <c r="D6" s="1306">
        <v>-3429758.0224797432</v>
      </c>
      <c r="E6" s="1771"/>
      <c r="F6" s="1593"/>
      <c r="G6" s="1700" t="s">
        <v>2261</v>
      </c>
      <c r="H6" s="1705">
        <f ca="1">Energia!D13/LnkTXTER</f>
        <v>3.8577256107846222E-2</v>
      </c>
      <c r="I6" s="906"/>
      <c r="J6" s="906"/>
      <c r="K6" s="906"/>
      <c r="L6" s="906"/>
      <c r="M6" s="906"/>
    </row>
    <row r="7" spans="3:23" ht="17.25" thickBot="1">
      <c r="C7" s="1307" t="s">
        <v>1278</v>
      </c>
      <c r="D7" s="1308">
        <f ca="1">SUM(D9:D100)</f>
        <v>-3429758.0224861898</v>
      </c>
      <c r="E7" s="1755">
        <f ca="1">SUM(E9:E100)</f>
        <v>-0.15424054421297911</v>
      </c>
      <c r="F7" s="1594"/>
      <c r="G7" s="1594"/>
      <c r="H7" s="1588"/>
      <c r="I7" s="1588"/>
      <c r="J7" s="1588"/>
      <c r="K7" s="1588"/>
      <c r="L7" s="1588"/>
      <c r="M7" s="1588"/>
    </row>
    <row r="8" spans="3:23" ht="16.5">
      <c r="C8" s="1309" t="s">
        <v>1279</v>
      </c>
      <c r="D8" s="1310" t="s">
        <v>37</v>
      </c>
      <c r="E8" s="1311" t="s">
        <v>1280</v>
      </c>
      <c r="F8" s="1595" t="s">
        <v>22</v>
      </c>
      <c r="G8" s="1595" t="s">
        <v>2276</v>
      </c>
      <c r="H8" s="1601" t="s">
        <v>1281</v>
      </c>
      <c r="I8" s="1601" t="s">
        <v>1282</v>
      </c>
      <c r="J8" s="1601" t="s">
        <v>1283</v>
      </c>
      <c r="K8" s="1601" t="s">
        <v>1284</v>
      </c>
      <c r="L8" s="1601" t="s">
        <v>1285</v>
      </c>
      <c r="M8" s="1601" t="s">
        <v>1286</v>
      </c>
      <c r="O8" s="1580" t="s">
        <v>22</v>
      </c>
      <c r="P8" s="1581" t="s">
        <v>1408</v>
      </c>
      <c r="Q8" s="1582" t="s">
        <v>1409</v>
      </c>
      <c r="R8" s="1582" t="s">
        <v>1410</v>
      </c>
      <c r="T8" s="1563" t="s">
        <v>22</v>
      </c>
      <c r="U8" s="1563" t="s">
        <v>1284</v>
      </c>
      <c r="V8" s="1563" t="s">
        <v>1285</v>
      </c>
      <c r="W8" s="1563" t="s">
        <v>1286</v>
      </c>
    </row>
    <row r="9" spans="3:23" ht="16.5">
      <c r="C9" s="1643" t="s">
        <v>1287</v>
      </c>
      <c r="D9" s="1644">
        <f>IFERROR(ABS(Indexador!$D$49)*'Tributos suprimento'!$C$41,0)</f>
        <v>139467.33290421998</v>
      </c>
      <c r="E9" s="1621">
        <f ca="1">IF(ISERROR(D9/$D$4),0,D9/$D$4)</f>
        <v>6.2720218703610419E-3</v>
      </c>
      <c r="F9" s="1609" t="s">
        <v>2237</v>
      </c>
      <c r="G9" s="1626" t="s">
        <v>2269</v>
      </c>
      <c r="H9" s="1610">
        <f>IFERROR(VLOOKUP(Financeiros[[#This Row],[Tipo]],RefTabTipo[],2,FALSE),0)</f>
        <v>22</v>
      </c>
      <c r="I9" s="1632">
        <f>IFERROR(VLOOKUP(Financeiros[[#This Row],[Tipo]],RefTabTipo[],3,FALSE),0)</f>
        <v>60</v>
      </c>
      <c r="J9" s="1611">
        <f>IFERROR(VLOOKUP(Financeiros[[#This Row],[Tipo]],RefTabTipo[],4,FALSE),0)</f>
        <v>999</v>
      </c>
      <c r="K9" s="1638">
        <f>IFERROR(VLOOKUP(Financeiros[[#This Row],[Grupo Tarifário]],RefTabGrupoTarifa[],2,FALSE),0)</f>
        <v>1</v>
      </c>
      <c r="L9" s="1610">
        <f>IFERROR(VLOOKUP(Financeiros[[#This Row],[Grupo Tarifário]],RefTabGrupoTarifa[],3,FALSE),0)</f>
        <v>7</v>
      </c>
      <c r="M9" s="1638">
        <f>IFERROR(VLOOKUP(Financeiros[[#This Row],[Grupo Tarifário]],RefTabGrupoTarifa[],4,FALSE),0)</f>
        <v>9</v>
      </c>
      <c r="O9" s="1583" t="s">
        <v>2230</v>
      </c>
      <c r="P9" s="1584">
        <v>22</v>
      </c>
      <c r="Q9" s="1584">
        <v>60</v>
      </c>
      <c r="R9" s="1585">
        <v>235</v>
      </c>
      <c r="T9" s="847" t="s">
        <v>2241</v>
      </c>
      <c r="U9" s="1455">
        <v>99</v>
      </c>
      <c r="V9" s="1455">
        <v>999</v>
      </c>
      <c r="W9" s="1455">
        <v>2</v>
      </c>
    </row>
    <row r="10" spans="3:23" ht="16.5">
      <c r="C10" s="1643" t="s">
        <v>2288</v>
      </c>
      <c r="D10" s="1644">
        <f ca="1">IFERROR(ABS(Indexador!$D$49)*'Tributos suprimento'!$D$41*H2,0)</f>
        <v>211820.88851796091</v>
      </c>
      <c r="E10" s="1621">
        <f t="shared" ref="E10:E73" ca="1" si="0">IF(ISERROR(D10/$D$4),0,D10/$D$4)</f>
        <v>9.5258525255971244E-3</v>
      </c>
      <c r="F10" s="1609" t="s">
        <v>2237</v>
      </c>
      <c r="G10" s="1626" t="s">
        <v>2257</v>
      </c>
      <c r="H10" s="1610">
        <f>IFERROR(VLOOKUP(Financeiros[[#This Row],[Tipo]],RefTabTipo[],2,FALSE),0)</f>
        <v>22</v>
      </c>
      <c r="I10" s="1632">
        <f>IFERROR(VLOOKUP(Financeiros[[#This Row],[Tipo]],RefTabTipo[],3,FALSE),0)</f>
        <v>60</v>
      </c>
      <c r="J10" s="1611">
        <f>IFERROR(VLOOKUP(Financeiros[[#This Row],[Tipo]],RefTabTipo[],4,FALSE),0)</f>
        <v>999</v>
      </c>
      <c r="K10" s="1638">
        <f>IFERROR(VLOOKUP(Financeiros[[#This Row],[Grupo Tarifário]],RefTabGrupoTarifa[],2,FALSE),0)</f>
        <v>2</v>
      </c>
      <c r="L10" s="1610">
        <f>IFERROR(VLOOKUP(Financeiros[[#This Row],[Grupo Tarifário]],RefTabGrupoTarifa[],3,FALSE),0)</f>
        <v>11</v>
      </c>
      <c r="M10" s="1638">
        <f>IFERROR(VLOOKUP(Financeiros[[#This Row],[Grupo Tarifário]],RefTabGrupoTarifa[],4,FALSE),0)</f>
        <v>9</v>
      </c>
      <c r="O10" s="1583" t="s">
        <v>2231</v>
      </c>
      <c r="P10" s="1584">
        <v>20</v>
      </c>
      <c r="Q10" s="1584">
        <v>60</v>
      </c>
      <c r="R10" s="1585">
        <v>234</v>
      </c>
      <c r="T10" s="847" t="s">
        <v>2242</v>
      </c>
      <c r="U10" s="1455">
        <v>99</v>
      </c>
      <c r="V10" s="1455">
        <v>999</v>
      </c>
      <c r="W10" s="1455">
        <v>1</v>
      </c>
    </row>
    <row r="11" spans="3:23" ht="16.5" hidden="1">
      <c r="C11" s="1643" t="s">
        <v>2289</v>
      </c>
      <c r="D11" s="1644">
        <f ca="1">IFERROR(ABS(Indexador!$D$49)*'Tributos suprimento'!$D$41*H3,0)</f>
        <v>0</v>
      </c>
      <c r="E11" s="1621">
        <f t="shared" ca="1" si="0"/>
        <v>0</v>
      </c>
      <c r="F11" s="1609" t="s">
        <v>2237</v>
      </c>
      <c r="G11" s="1626" t="s">
        <v>2259</v>
      </c>
      <c r="H11" s="1610">
        <f>IFERROR(VLOOKUP(Financeiros[[#This Row],[Tipo]],RefTabTipo[],2,FALSE),0)</f>
        <v>22</v>
      </c>
      <c r="I11" s="1632">
        <f>IFERROR(VLOOKUP(Financeiros[[#This Row],[Tipo]],RefTabTipo[],3,FALSE),0)</f>
        <v>60</v>
      </c>
      <c r="J11" s="1611">
        <f>IFERROR(VLOOKUP(Financeiros[[#This Row],[Tipo]],RefTabTipo[],4,FALSE),0)</f>
        <v>999</v>
      </c>
      <c r="K11" s="1638">
        <f>IFERROR(VLOOKUP(Financeiros[[#This Row],[Grupo Tarifário]],RefTabGrupoTarifa[],2,FALSE),0)</f>
        <v>2</v>
      </c>
      <c r="L11" s="1610">
        <f>IFERROR(VLOOKUP(Financeiros[[#This Row],[Grupo Tarifário]],RefTabGrupoTarifa[],3,FALSE),0)</f>
        <v>9</v>
      </c>
      <c r="M11" s="1638">
        <f>IFERROR(VLOOKUP(Financeiros[[#This Row],[Grupo Tarifário]],RefTabGrupoTarifa[],4,FALSE),0)</f>
        <v>9</v>
      </c>
      <c r="O11" s="1583" t="s">
        <v>2232</v>
      </c>
      <c r="P11" s="1584">
        <v>22</v>
      </c>
      <c r="Q11" s="1584">
        <v>60</v>
      </c>
      <c r="R11" s="1585">
        <v>167</v>
      </c>
      <c r="T11" s="847" t="s">
        <v>2243</v>
      </c>
      <c r="U11" s="1455">
        <v>99</v>
      </c>
      <c r="V11" s="1455">
        <v>999</v>
      </c>
      <c r="W11" s="1455">
        <v>3</v>
      </c>
    </row>
    <row r="12" spans="3:23" ht="16.5">
      <c r="C12" s="1643" t="s">
        <v>2290</v>
      </c>
      <c r="D12" s="1644">
        <f ca="1">IFERROR(ABS(Indexador!$D$49)*'Tributos suprimento'!$D$41*H4,0)</f>
        <v>1456.6968108930819</v>
      </c>
      <c r="E12" s="1621">
        <f t="shared" ca="1" si="0"/>
        <v>6.5509492912444895E-5</v>
      </c>
      <c r="F12" s="1609" t="s">
        <v>2237</v>
      </c>
      <c r="G12" s="1626" t="s">
        <v>2262</v>
      </c>
      <c r="H12" s="1610">
        <f>IFERROR(VLOOKUP(Financeiros[[#This Row],[Tipo]],RefTabTipo[],2,FALSE),0)</f>
        <v>22</v>
      </c>
      <c r="I12" s="1632">
        <f>IFERROR(VLOOKUP(Financeiros[[#This Row],[Tipo]],RefTabTipo[],3,FALSE),0)</f>
        <v>60</v>
      </c>
      <c r="J12" s="1611">
        <f>IFERROR(VLOOKUP(Financeiros[[#This Row],[Tipo]],RefTabTipo[],4,FALSE),0)</f>
        <v>999</v>
      </c>
      <c r="K12" s="1638">
        <f>IFERROR(VLOOKUP(Financeiros[[#This Row],[Grupo Tarifário]],RefTabGrupoTarifa[],2,FALSE),0)</f>
        <v>2</v>
      </c>
      <c r="L12" s="1610">
        <f>IFERROR(VLOOKUP(Financeiros[[#This Row],[Grupo Tarifário]],RefTabGrupoTarifa[],3,FALSE),0)</f>
        <v>8</v>
      </c>
      <c r="M12" s="1638">
        <f>IFERROR(VLOOKUP(Financeiros[[#This Row],[Grupo Tarifário]],RefTabGrupoTarifa[],4,FALSE),0)</f>
        <v>9</v>
      </c>
      <c r="O12" s="1583" t="s">
        <v>2233</v>
      </c>
      <c r="P12" s="1584">
        <v>22</v>
      </c>
      <c r="Q12" s="1584">
        <v>60</v>
      </c>
      <c r="R12" s="1585">
        <v>241</v>
      </c>
      <c r="T12" s="847" t="s">
        <v>2244</v>
      </c>
      <c r="U12" s="847">
        <v>3</v>
      </c>
      <c r="V12" s="847">
        <v>17</v>
      </c>
      <c r="W12" s="847">
        <v>9</v>
      </c>
    </row>
    <row r="13" spans="3:23" ht="16.5">
      <c r="C13" s="1643" t="s">
        <v>2291</v>
      </c>
      <c r="D13" s="1644">
        <f ca="1">IFERROR(ABS(Indexador!$D$49)*'Tributos suprimento'!$D$41*H5,0)</f>
        <v>58.868422491490762</v>
      </c>
      <c r="E13" s="1621">
        <f t="shared" ca="1" si="0"/>
        <v>2.6473872099773408E-6</v>
      </c>
      <c r="F13" s="1609" t="s">
        <v>2237</v>
      </c>
      <c r="G13" s="1626" t="s">
        <v>2260</v>
      </c>
      <c r="H13" s="1610">
        <f>IFERROR(VLOOKUP(Financeiros[[#This Row],[Tipo]],RefTabTipo[],2,FALSE),0)</f>
        <v>22</v>
      </c>
      <c r="I13" s="1632">
        <f>IFERROR(VLOOKUP(Financeiros[[#This Row],[Tipo]],RefTabTipo[],3,FALSE),0)</f>
        <v>60</v>
      </c>
      <c r="J13" s="1611">
        <f>IFERROR(VLOOKUP(Financeiros[[#This Row],[Tipo]],RefTabTipo[],4,FALSE),0)</f>
        <v>999</v>
      </c>
      <c r="K13" s="1638">
        <f>IFERROR(VLOOKUP(Financeiros[[#This Row],[Grupo Tarifário]],RefTabGrupoTarifa[],2,FALSE),0)</f>
        <v>2</v>
      </c>
      <c r="L13" s="1610">
        <f>IFERROR(VLOOKUP(Financeiros[[#This Row],[Grupo Tarifário]],RefTabGrupoTarifa[],3,FALSE),0)</f>
        <v>10</v>
      </c>
      <c r="M13" s="1638">
        <f>IFERROR(VLOOKUP(Financeiros[[#This Row],[Grupo Tarifário]],RefTabGrupoTarifa[],4,FALSE),0)</f>
        <v>9</v>
      </c>
      <c r="O13" s="1583" t="s">
        <v>2234</v>
      </c>
      <c r="P13" s="1584">
        <v>22</v>
      </c>
      <c r="Q13" s="1584">
        <v>60</v>
      </c>
      <c r="R13" s="1585">
        <v>120</v>
      </c>
      <c r="T13" s="847" t="s">
        <v>2245</v>
      </c>
      <c r="U13" s="847">
        <v>3</v>
      </c>
      <c r="V13" s="847">
        <v>13</v>
      </c>
      <c r="W13" s="847">
        <v>9</v>
      </c>
    </row>
    <row r="14" spans="3:23" ht="16.5">
      <c r="C14" s="1643" t="s">
        <v>2292</v>
      </c>
      <c r="D14" s="1644">
        <f ca="1">IFERROR(ABS(Indexador!$D$49)*'Tributos suprimento'!$D$41*H6,0)</f>
        <v>8560.1625983881731</v>
      </c>
      <c r="E14" s="1621">
        <f t="shared" ca="1" si="0"/>
        <v>3.8496130895260489E-4</v>
      </c>
      <c r="F14" s="1609" t="s">
        <v>2237</v>
      </c>
      <c r="G14" s="1626" t="s">
        <v>2261</v>
      </c>
      <c r="H14" s="1610">
        <f>IFERROR(VLOOKUP(Financeiros[[#This Row],[Tipo]],RefTabTipo[],2,FALSE),0)</f>
        <v>22</v>
      </c>
      <c r="I14" s="1632">
        <f>IFERROR(VLOOKUP(Financeiros[[#This Row],[Tipo]],RefTabTipo[],3,FALSE),0)</f>
        <v>60</v>
      </c>
      <c r="J14" s="1611">
        <f>IFERROR(VLOOKUP(Financeiros[[#This Row],[Tipo]],RefTabTipo[],4,FALSE),0)</f>
        <v>999</v>
      </c>
      <c r="K14" s="1638">
        <f>IFERROR(VLOOKUP(Financeiros[[#This Row],[Grupo Tarifário]],RefTabGrupoTarifa[],2,FALSE),0)</f>
        <v>2</v>
      </c>
      <c r="L14" s="1610">
        <f>IFERROR(VLOOKUP(Financeiros[[#This Row],[Grupo Tarifário]],RefTabGrupoTarifa[],3,FALSE),0)</f>
        <v>24</v>
      </c>
      <c r="M14" s="1638">
        <f>IFERROR(VLOOKUP(Financeiros[[#This Row],[Grupo Tarifário]],RefTabGrupoTarifa[],4,FALSE),0)</f>
        <v>9</v>
      </c>
      <c r="O14" s="1583" t="s">
        <v>2235</v>
      </c>
      <c r="P14" s="1584">
        <v>22</v>
      </c>
      <c r="Q14" s="1584">
        <v>60</v>
      </c>
      <c r="R14" s="1585">
        <v>240</v>
      </c>
      <c r="T14" s="847" t="s">
        <v>2246</v>
      </c>
      <c r="U14" s="847">
        <v>3</v>
      </c>
      <c r="V14" s="847">
        <v>25</v>
      </c>
      <c r="W14" s="847">
        <v>9</v>
      </c>
    </row>
    <row r="15" spans="3:23" ht="16.5">
      <c r="C15" s="1616" t="str">
        <f>"(Neutralidade) "&amp;Encargos!L31</f>
        <v>(Neutralidade) TFSEE</v>
      </c>
      <c r="D15" s="1612">
        <f ca="1">Encargos!$M$31</f>
        <v>-853.90027895057767</v>
      </c>
      <c r="E15" s="1619">
        <f t="shared" ca="1" si="0"/>
        <v>-3.8400972565837074E-5</v>
      </c>
      <c r="F15" s="1613" t="s">
        <v>107</v>
      </c>
      <c r="G15" s="1624" t="s">
        <v>2256</v>
      </c>
      <c r="H15" s="1614">
        <f>IFERROR(VLOOKUP(Financeiros[[#This Row],[Tipo]],RefTabTipo[],2,FALSE),0)</f>
        <v>20</v>
      </c>
      <c r="I15" s="1630">
        <f>IFERROR(VLOOKUP(Financeiros[[#This Row],[Tipo]],RefTabTipo[],3,FALSE),0)</f>
        <v>60</v>
      </c>
      <c r="J15" s="1615">
        <f>IFERROR(VLOOKUP(Financeiros[[#This Row],[Tipo]],RefTabTipo[],4,FALSE),0)</f>
        <v>999</v>
      </c>
      <c r="K15" s="1637">
        <f>IFERROR(VLOOKUP(Financeiros[[#This Row],[Grupo Tarifário]],RefTabGrupoTarifa[],2,FALSE),0)</f>
        <v>3</v>
      </c>
      <c r="L15" s="1614">
        <f>IFERROR(VLOOKUP(Financeiros[[#This Row],[Grupo Tarifário]],RefTabGrupoTarifa[],3,FALSE),0)</f>
        <v>14</v>
      </c>
      <c r="M15" s="1637">
        <f>IFERROR(VLOOKUP(Financeiros[[#This Row],[Grupo Tarifário]],RefTabGrupoTarifa[],4,FALSE),0)</f>
        <v>9</v>
      </c>
      <c r="O15" s="1583" t="s">
        <v>2236</v>
      </c>
      <c r="P15" s="1584">
        <v>22</v>
      </c>
      <c r="Q15" s="1584">
        <v>60</v>
      </c>
      <c r="R15" s="1585">
        <v>179</v>
      </c>
      <c r="T15" s="847" t="s">
        <v>2247</v>
      </c>
      <c r="U15" s="847">
        <v>3</v>
      </c>
      <c r="V15" s="847">
        <v>15</v>
      </c>
      <c r="W15" s="847">
        <v>9</v>
      </c>
    </row>
    <row r="16" spans="3:23" ht="16.5">
      <c r="C16" s="1616" t="str">
        <f>"(Neutralidade) "&amp;Encargos!L32</f>
        <v>(Neutralidade) CDE</v>
      </c>
      <c r="D16" s="1612">
        <f ca="1">IFERROR(Encargos!$M$32,0)</f>
        <v>-120209.74283909067</v>
      </c>
      <c r="E16" s="1619">
        <f t="shared" ca="1" si="0"/>
        <v>-5.4059837556013103E-3</v>
      </c>
      <c r="F16" s="1613" t="s">
        <v>107</v>
      </c>
      <c r="G16" s="1624" t="s">
        <v>2247</v>
      </c>
      <c r="H16" s="1614">
        <f>IFERROR(VLOOKUP(Financeiros[[#This Row],[Tipo]],RefTabTipo[],2,FALSE),0)</f>
        <v>20</v>
      </c>
      <c r="I16" s="1630">
        <f>IFERROR(VLOOKUP(Financeiros[[#This Row],[Tipo]],RefTabTipo[],3,FALSE),0)</f>
        <v>60</v>
      </c>
      <c r="J16" s="1615">
        <f>IFERROR(VLOOKUP(Financeiros[[#This Row],[Tipo]],RefTabTipo[],4,FALSE),0)</f>
        <v>999</v>
      </c>
      <c r="K16" s="1637">
        <f>IFERROR(VLOOKUP(Financeiros[[#This Row],[Grupo Tarifário]],RefTabGrupoTarifa[],2,FALSE),0)</f>
        <v>3</v>
      </c>
      <c r="L16" s="1614">
        <f>IFERROR(VLOOKUP(Financeiros[[#This Row],[Grupo Tarifário]],RefTabGrupoTarifa[],3,FALSE),0)</f>
        <v>15</v>
      </c>
      <c r="M16" s="1637">
        <f>IFERROR(VLOOKUP(Financeiros[[#This Row],[Grupo Tarifário]],RefTabGrupoTarifa[],4,FALSE),0)</f>
        <v>9</v>
      </c>
      <c r="O16" s="1583" t="s">
        <v>2237</v>
      </c>
      <c r="P16" s="1584">
        <v>22</v>
      </c>
      <c r="Q16" s="1584">
        <v>60</v>
      </c>
      <c r="R16" s="1585">
        <v>999</v>
      </c>
      <c r="T16" s="847" t="s">
        <v>2248</v>
      </c>
      <c r="U16" s="1455">
        <v>3</v>
      </c>
      <c r="V16" s="1455">
        <v>25</v>
      </c>
      <c r="W16" s="1455">
        <v>9</v>
      </c>
    </row>
    <row r="17" spans="3:23" ht="16.5" hidden="1">
      <c r="C17" s="1616" t="str">
        <f>"(Neutralidade) "&amp;Encargos!L33</f>
        <v>(Neutralidade) CFURH</v>
      </c>
      <c r="D17" s="1612">
        <f>Encargos!$M$33</f>
        <v>0</v>
      </c>
      <c r="E17" s="1619">
        <f t="shared" ca="1" si="0"/>
        <v>0</v>
      </c>
      <c r="F17" s="1613" t="s">
        <v>107</v>
      </c>
      <c r="G17" s="1624" t="s">
        <v>2251</v>
      </c>
      <c r="H17" s="1614">
        <f>IFERROR(VLOOKUP(Financeiros[[#This Row],[Tipo]],RefTabTipo[],2,FALSE),0)</f>
        <v>20</v>
      </c>
      <c r="I17" s="1630">
        <f>IFERROR(VLOOKUP(Financeiros[[#This Row],[Tipo]],RefTabTipo[],3,FALSE),0)</f>
        <v>60</v>
      </c>
      <c r="J17" s="1615">
        <f>IFERROR(VLOOKUP(Financeiros[[#This Row],[Tipo]],RefTabTipo[],4,FALSE),0)</f>
        <v>999</v>
      </c>
      <c r="K17" s="1637">
        <f>IFERROR(VLOOKUP(Financeiros[[#This Row],[Grupo Tarifário]],RefTabGrupoTarifa[],2,FALSE),0)</f>
        <v>3</v>
      </c>
      <c r="L17" s="1614">
        <f>IFERROR(VLOOKUP(Financeiros[[#This Row],[Grupo Tarifário]],RefTabGrupoTarifa[],3,FALSE),0)</f>
        <v>16</v>
      </c>
      <c r="M17" s="1637">
        <f>IFERROR(VLOOKUP(Financeiros[[#This Row],[Grupo Tarifário]],RefTabGrupoTarifa[],4,FALSE),0)</f>
        <v>9</v>
      </c>
      <c r="O17" s="1583" t="s">
        <v>107</v>
      </c>
      <c r="P17" s="1584">
        <v>20</v>
      </c>
      <c r="Q17" s="1584">
        <v>60</v>
      </c>
      <c r="R17" s="1585">
        <v>999</v>
      </c>
      <c r="T17" s="847" t="s">
        <v>2249</v>
      </c>
      <c r="U17" s="1455">
        <v>3</v>
      </c>
      <c r="V17" s="1455">
        <v>12</v>
      </c>
      <c r="W17" s="1455">
        <v>9</v>
      </c>
    </row>
    <row r="18" spans="3:23" ht="16.5">
      <c r="C18" s="1616" t="str">
        <f>"(Neutralidade) "&amp;Encargos!L34</f>
        <v>(Neutralidade) ESS/ERR</v>
      </c>
      <c r="D18" s="1612">
        <f ca="1">Encargos!$M$34</f>
        <v>-11974.966841996687</v>
      </c>
      <c r="E18" s="1619">
        <f t="shared" ca="1" si="0"/>
        <v>-5.3852936286830609E-4</v>
      </c>
      <c r="F18" s="1613" t="s">
        <v>107</v>
      </c>
      <c r="G18" s="1624" t="s">
        <v>2244</v>
      </c>
      <c r="H18" s="1614">
        <f>IFERROR(VLOOKUP(Financeiros[[#This Row],[Tipo]],RefTabTipo[],2,FALSE),0)</f>
        <v>20</v>
      </c>
      <c r="I18" s="1630">
        <f>IFERROR(VLOOKUP(Financeiros[[#This Row],[Tipo]],RefTabTipo[],3,FALSE),0)</f>
        <v>60</v>
      </c>
      <c r="J18" s="1615">
        <f>IFERROR(VLOOKUP(Financeiros[[#This Row],[Tipo]],RefTabTipo[],4,FALSE),0)</f>
        <v>999</v>
      </c>
      <c r="K18" s="1637">
        <f>IFERROR(VLOOKUP(Financeiros[[#This Row],[Grupo Tarifário]],RefTabGrupoTarifa[],2,FALSE),0)</f>
        <v>3</v>
      </c>
      <c r="L18" s="1614">
        <f>IFERROR(VLOOKUP(Financeiros[[#This Row],[Grupo Tarifário]],RefTabGrupoTarifa[],3,FALSE),0)</f>
        <v>17</v>
      </c>
      <c r="M18" s="1637">
        <f>IFERROR(VLOOKUP(Financeiros[[#This Row],[Grupo Tarifário]],RefTabGrupoTarifa[],4,FALSE),0)</f>
        <v>9</v>
      </c>
      <c r="O18" s="1583" t="s">
        <v>2238</v>
      </c>
      <c r="P18" s="1584">
        <v>20</v>
      </c>
      <c r="Q18" s="1584">
        <v>60</v>
      </c>
      <c r="R18" s="1585">
        <v>179</v>
      </c>
      <c r="T18" s="847" t="s">
        <v>2250</v>
      </c>
      <c r="U18" s="1455">
        <v>3</v>
      </c>
      <c r="V18" s="1455">
        <v>28</v>
      </c>
      <c r="W18" s="1455">
        <v>9</v>
      </c>
    </row>
    <row r="19" spans="3:23" ht="16.5">
      <c r="C19" s="1616" t="str">
        <f>"(Neutralidade) "&amp;Encargos!L35</f>
        <v>(Neutralidade) PROINFA</v>
      </c>
      <c r="D19" s="1612">
        <f ca="1">Encargos!$M$35</f>
        <v>-24479.030390304055</v>
      </c>
      <c r="E19" s="1619">
        <f t="shared" ca="1" si="0"/>
        <v>-1.100852871967225E-3</v>
      </c>
      <c r="F19" s="1613" t="s">
        <v>107</v>
      </c>
      <c r="G19" s="1624" t="s">
        <v>2254</v>
      </c>
      <c r="H19" s="1614">
        <f>IFERROR(VLOOKUP(Financeiros[[#This Row],[Tipo]],RefTabTipo[],2,FALSE),0)</f>
        <v>20</v>
      </c>
      <c r="I19" s="1630">
        <f>IFERROR(VLOOKUP(Financeiros[[#This Row],[Tipo]],RefTabTipo[],3,FALSE),0)</f>
        <v>60</v>
      </c>
      <c r="J19" s="1615">
        <f>IFERROR(VLOOKUP(Financeiros[[#This Row],[Tipo]],RefTabTipo[],4,FALSE),0)</f>
        <v>999</v>
      </c>
      <c r="K19" s="1637">
        <f>IFERROR(VLOOKUP(Financeiros[[#This Row],[Grupo Tarifário]],RefTabGrupoTarifa[],2,FALSE),0)</f>
        <v>3</v>
      </c>
      <c r="L19" s="1614">
        <f>IFERROR(VLOOKUP(Financeiros[[#This Row],[Grupo Tarifário]],RefTabGrupoTarifa[],3,FALSE),0)</f>
        <v>18</v>
      </c>
      <c r="M19" s="1637">
        <f>IFERROR(VLOOKUP(Financeiros[[#This Row],[Grupo Tarifário]],RefTabGrupoTarifa[],4,FALSE),0)</f>
        <v>9</v>
      </c>
      <c r="O19" s="68" t="s">
        <v>2278</v>
      </c>
      <c r="P19" s="1654">
        <v>22</v>
      </c>
      <c r="Q19" s="1654">
        <v>60</v>
      </c>
      <c r="R19" s="1654">
        <v>220</v>
      </c>
      <c r="T19" s="847" t="s">
        <v>2251</v>
      </c>
      <c r="U19" s="847">
        <v>3</v>
      </c>
      <c r="V19" s="847">
        <v>16</v>
      </c>
      <c r="W19" s="847">
        <v>9</v>
      </c>
    </row>
    <row r="20" spans="3:23" ht="16.5" hidden="1">
      <c r="C20" s="1616" t="str">
        <f>"(Neutralidade) "&amp;Encargos!L36</f>
        <v>(Neutralidade) CDE COVID</v>
      </c>
      <c r="D20" s="1612">
        <f ca="1">Encargos!$M$36</f>
        <v>0</v>
      </c>
      <c r="E20" s="1619">
        <f t="shared" ca="1" si="0"/>
        <v>0</v>
      </c>
      <c r="F20" s="1613" t="s">
        <v>107</v>
      </c>
      <c r="G20" s="1624" t="s">
        <v>2249</v>
      </c>
      <c r="H20" s="1614">
        <f>IFERROR(VLOOKUP(Financeiros[[#This Row],[Tipo]],RefTabTipo[],2,FALSE),0)</f>
        <v>20</v>
      </c>
      <c r="I20" s="1630">
        <f>IFERROR(VLOOKUP(Financeiros[[#This Row],[Tipo]],RefTabTipo[],3,FALSE),0)</f>
        <v>60</v>
      </c>
      <c r="J20" s="1615">
        <f>IFERROR(VLOOKUP(Financeiros[[#This Row],[Tipo]],RefTabTipo[],4,FALSE),0)</f>
        <v>999</v>
      </c>
      <c r="K20" s="1637">
        <f>IFERROR(VLOOKUP(Financeiros[[#This Row],[Grupo Tarifário]],RefTabGrupoTarifa[],2,FALSE),0)</f>
        <v>3</v>
      </c>
      <c r="L20" s="1614">
        <f>IFERROR(VLOOKUP(Financeiros[[#This Row],[Grupo Tarifário]],RefTabGrupoTarifa[],3,FALSE),0)</f>
        <v>12</v>
      </c>
      <c r="M20" s="1637">
        <f>IFERROR(VLOOKUP(Financeiros[[#This Row],[Grupo Tarifário]],RefTabGrupoTarifa[],4,FALSE),0)</f>
        <v>9</v>
      </c>
      <c r="O20" s="1655" t="s">
        <v>2239</v>
      </c>
      <c r="P20" s="1656">
        <v>22</v>
      </c>
      <c r="Q20" s="1656">
        <v>60</v>
      </c>
      <c r="R20" s="1656">
        <v>178</v>
      </c>
      <c r="T20" s="847" t="s">
        <v>2252</v>
      </c>
      <c r="U20" s="847">
        <v>3</v>
      </c>
      <c r="V20" s="847">
        <v>20</v>
      </c>
      <c r="W20" s="847">
        <v>9</v>
      </c>
    </row>
    <row r="21" spans="3:23" ht="16.5" hidden="1">
      <c r="C21" s="1616" t="str">
        <f>"(Neutralidade) "&amp;Encargos!L37</f>
        <v>(Neutralidade) P&amp;D</v>
      </c>
      <c r="D21" s="1612">
        <f ca="1">Encargos!$M$37</f>
        <v>0</v>
      </c>
      <c r="E21" s="1619">
        <f t="shared" ca="1" si="0"/>
        <v>0</v>
      </c>
      <c r="F21" s="1613" t="s">
        <v>107</v>
      </c>
      <c r="G21" s="1624" t="s">
        <v>2253</v>
      </c>
      <c r="H21" s="1614">
        <f>IFERROR(VLOOKUP(Financeiros[[#This Row],[Tipo]],RefTabTipo[],2,FALSE),0)</f>
        <v>20</v>
      </c>
      <c r="I21" s="1630">
        <f>IFERROR(VLOOKUP(Financeiros[[#This Row],[Tipo]],RefTabTipo[],3,FALSE),0)</f>
        <v>60</v>
      </c>
      <c r="J21" s="1615">
        <f>IFERROR(VLOOKUP(Financeiros[[#This Row],[Tipo]],RefTabTipo[],4,FALSE),0)</f>
        <v>999</v>
      </c>
      <c r="K21" s="1637">
        <f>IFERROR(VLOOKUP(Financeiros[[#This Row],[Grupo Tarifário]],RefTabGrupoTarifa[],2,FALSE),0)</f>
        <v>3</v>
      </c>
      <c r="L21" s="1614">
        <f>IFERROR(VLOOKUP(Financeiros[[#This Row],[Grupo Tarifário]],RefTabGrupoTarifa[],3,FALSE),0)</f>
        <v>19</v>
      </c>
      <c r="M21" s="1637">
        <f>IFERROR(VLOOKUP(Financeiros[[#This Row],[Grupo Tarifário]],RefTabGrupoTarifa[],4,FALSE),0)</f>
        <v>9</v>
      </c>
      <c r="O21" s="1655" t="s">
        <v>1305</v>
      </c>
      <c r="P21" s="1656">
        <v>22</v>
      </c>
      <c r="Q21" s="1656">
        <v>62</v>
      </c>
      <c r="R21" s="1656">
        <v>220</v>
      </c>
      <c r="T21" s="847" t="s">
        <v>2253</v>
      </c>
      <c r="U21" s="847">
        <v>3</v>
      </c>
      <c r="V21" s="847">
        <v>19</v>
      </c>
      <c r="W21" s="847">
        <v>9</v>
      </c>
    </row>
    <row r="22" spans="3:23" ht="16.5" hidden="1">
      <c r="C22" s="1616" t="str">
        <f>"(Neutralidade)" &amp; Encargos!L41</f>
        <v>(Neutralidade)Financeiro Covid</v>
      </c>
      <c r="D22" s="1612">
        <f ca="1">Encargos!$M$41</f>
        <v>0</v>
      </c>
      <c r="E22" s="1619">
        <f t="shared" ca="1" si="0"/>
        <v>0</v>
      </c>
      <c r="F22" s="1613" t="s">
        <v>107</v>
      </c>
      <c r="G22" s="1624" t="s">
        <v>104</v>
      </c>
      <c r="H22" s="1614">
        <f>IFERROR(VLOOKUP(Financeiros[[#This Row],[Tipo]],RefTabTipo[],2,FALSE),0)</f>
        <v>20</v>
      </c>
      <c r="I22" s="1630">
        <f>IFERROR(VLOOKUP(Financeiros[[#This Row],[Tipo]],RefTabTipo[],3,FALSE),0)</f>
        <v>60</v>
      </c>
      <c r="J22" s="1615">
        <f>IFERROR(VLOOKUP(Financeiros[[#This Row],[Tipo]],RefTabTipo[],4,FALSE),0)</f>
        <v>999</v>
      </c>
      <c r="K22" s="1637">
        <f>IFERROR(VLOOKUP(Financeiros[[#This Row],[Grupo Tarifário]],RefTabGrupoTarifa[],2,FALSE),0)</f>
        <v>4</v>
      </c>
      <c r="L22" s="1614">
        <f>IFERROR(VLOOKUP(Financeiros[[#This Row],[Grupo Tarifário]],RefTabGrupoTarifa[],3,FALSE),0)</f>
        <v>999</v>
      </c>
      <c r="M22" s="1637">
        <f>IFERROR(VLOOKUP(Financeiros[[#This Row],[Grupo Tarifário]],RefTabGrupoTarifa[],4,FALSE),0)</f>
        <v>9</v>
      </c>
      <c r="O22" s="1583" t="s">
        <v>2240</v>
      </c>
      <c r="P22" s="1586">
        <v>22</v>
      </c>
      <c r="Q22" s="1586">
        <v>60</v>
      </c>
      <c r="R22" s="1586">
        <v>106</v>
      </c>
      <c r="T22" s="847" t="s">
        <v>2254</v>
      </c>
      <c r="U22" s="847">
        <v>3</v>
      </c>
      <c r="V22" s="847">
        <v>18</v>
      </c>
      <c r="W22" s="847">
        <v>9</v>
      </c>
    </row>
    <row r="23" spans="3:23" ht="16.5" hidden="1">
      <c r="C23" s="1616" t="str">
        <f>"(Neutralidade)" &amp; Encargos!L42</f>
        <v>(Neutralidade)Crédito Pis Cofins</v>
      </c>
      <c r="D23" s="1612">
        <f ca="1">Encargos!$M$42</f>
        <v>0</v>
      </c>
      <c r="E23" s="1619">
        <f t="shared" ca="1" si="0"/>
        <v>0</v>
      </c>
      <c r="F23" s="1613" t="s">
        <v>2238</v>
      </c>
      <c r="G23" s="1624" t="s">
        <v>2243</v>
      </c>
      <c r="H23" s="1614">
        <f>IFERROR(VLOOKUP(Financeiros[[#This Row],[Tipo]],RefTabTipo[],2,FALSE),0)</f>
        <v>20</v>
      </c>
      <c r="I23" s="1630">
        <f>IFERROR(VLOOKUP(Financeiros[[#This Row],[Tipo]],RefTabTipo[],3,FALSE),0)</f>
        <v>60</v>
      </c>
      <c r="J23" s="1615">
        <f>IFERROR(VLOOKUP(Financeiros[[#This Row],[Tipo]],RefTabTipo[],4,FALSE),0)</f>
        <v>179</v>
      </c>
      <c r="K23" s="1637">
        <f>IFERROR(VLOOKUP(Financeiros[[#This Row],[Grupo Tarifário]],RefTabGrupoTarifa[],2,FALSE),0)</f>
        <v>99</v>
      </c>
      <c r="L23" s="1614">
        <f>IFERROR(VLOOKUP(Financeiros[[#This Row],[Grupo Tarifário]],RefTabGrupoTarifa[],3,FALSE),0)</f>
        <v>999</v>
      </c>
      <c r="M23" s="1637">
        <f>IFERROR(VLOOKUP(Financeiros[[#This Row],[Grupo Tarifário]],RefTabGrupoTarifa[],4,FALSE),0)</f>
        <v>3</v>
      </c>
      <c r="O23" s="68" t="s">
        <v>2414</v>
      </c>
      <c r="P23" s="68">
        <v>22</v>
      </c>
      <c r="Q23" s="68">
        <v>60</v>
      </c>
      <c r="R23" s="68">
        <v>242</v>
      </c>
      <c r="T23" s="847" t="s">
        <v>2255</v>
      </c>
      <c r="U23" s="847">
        <v>3</v>
      </c>
      <c r="V23" s="847">
        <v>12</v>
      </c>
      <c r="W23" s="847">
        <v>9</v>
      </c>
    </row>
    <row r="24" spans="3:23" ht="16.5" hidden="1">
      <c r="C24" s="1645" t="s">
        <v>1289</v>
      </c>
      <c r="D24" s="1646">
        <f>IFERROR((Indexador!J49+Indexador!P49)*Resultado!D25/(Resultado!D25+Resultado!D26),0)</f>
        <v>0</v>
      </c>
      <c r="E24" s="1647">
        <f t="shared" ca="1" si="0"/>
        <v>0</v>
      </c>
      <c r="F24" s="1648" t="s">
        <v>2237</v>
      </c>
      <c r="G24" s="1649" t="s">
        <v>2272</v>
      </c>
      <c r="H24" s="1650">
        <f>IFERROR(VLOOKUP(Financeiros[[#This Row],[Tipo]],RefTabTipo[],2,FALSE),0)</f>
        <v>22</v>
      </c>
      <c r="I24" s="1651">
        <f>IFERROR(VLOOKUP(Financeiros[[#This Row],[Tipo]],RefTabTipo[],3,FALSE),0)</f>
        <v>60</v>
      </c>
      <c r="J24" s="1652">
        <f>IFERROR(VLOOKUP(Financeiros[[#This Row],[Tipo]],RefTabTipo[],4,FALSE),0)</f>
        <v>999</v>
      </c>
      <c r="K24" s="1653">
        <f>IFERROR(VLOOKUP(Financeiros[[#This Row],[Grupo Tarifário]],RefTabGrupoTarifa[],2,FALSE),0)</f>
        <v>1</v>
      </c>
      <c r="L24" s="1650">
        <f>IFERROR(VLOOKUP(Financeiros[[#This Row],[Grupo Tarifário]],RefTabGrupoTarifa[],3,FALSE),0)</f>
        <v>1</v>
      </c>
      <c r="M24" s="1653">
        <f>IFERROR(VLOOKUP(Financeiros[[#This Row],[Grupo Tarifário]],RefTabGrupoTarifa[],4,FALSE),0)</f>
        <v>9</v>
      </c>
      <c r="T24" s="847" t="s">
        <v>2256</v>
      </c>
      <c r="U24" s="847">
        <v>3</v>
      </c>
      <c r="V24" s="847">
        <v>14</v>
      </c>
      <c r="W24" s="847">
        <v>9</v>
      </c>
    </row>
    <row r="25" spans="3:23" ht="16.5" hidden="1">
      <c r="C25" s="1645" t="s">
        <v>1290</v>
      </c>
      <c r="D25" s="1646">
        <f>IFERROR((Indexador!J49+Indexador!P49)*Resultado!D26/(Resultado!D25+Resultado!D26),0)</f>
        <v>0</v>
      </c>
      <c r="E25" s="1647">
        <f t="shared" ca="1" si="0"/>
        <v>0</v>
      </c>
      <c r="F25" s="1648" t="s">
        <v>2237</v>
      </c>
      <c r="G25" s="1649" t="s">
        <v>2271</v>
      </c>
      <c r="H25" s="1650">
        <f>IFERROR(VLOOKUP(Financeiros[[#This Row],[Tipo]],RefTabTipo[],2,FALSE),0)</f>
        <v>22</v>
      </c>
      <c r="I25" s="1651">
        <f>IFERROR(VLOOKUP(Financeiros[[#This Row],[Tipo]],RefTabTipo[],3,FALSE),0)</f>
        <v>60</v>
      </c>
      <c r="J25" s="1652">
        <f>IFERROR(VLOOKUP(Financeiros[[#This Row],[Tipo]],RefTabTipo[],4,FALSE),0)</f>
        <v>999</v>
      </c>
      <c r="K25" s="1653">
        <f>IFERROR(VLOOKUP(Financeiros[[#This Row],[Grupo Tarifário]],RefTabGrupoTarifa[],2,FALSE),0)</f>
        <v>1</v>
      </c>
      <c r="L25" s="1650">
        <f>IFERROR(VLOOKUP(Financeiros[[#This Row],[Grupo Tarifário]],RefTabGrupoTarifa[],3,FALSE),0)</f>
        <v>2</v>
      </c>
      <c r="M25" s="1653">
        <f>IFERROR(VLOOKUP(Financeiros[[#This Row],[Grupo Tarifário]],RefTabGrupoTarifa[],4,FALSE),0)</f>
        <v>9</v>
      </c>
      <c r="T25" s="847" t="s">
        <v>2257</v>
      </c>
      <c r="U25" s="847">
        <v>2</v>
      </c>
      <c r="V25" s="847">
        <v>11</v>
      </c>
      <c r="W25" s="847">
        <v>9</v>
      </c>
    </row>
    <row r="26" spans="3:23" ht="16.5" hidden="1">
      <c r="C26" s="1657" t="s">
        <v>1291</v>
      </c>
      <c r="D26" s="1658">
        <v>0</v>
      </c>
      <c r="E26" s="1623">
        <f t="shared" ca="1" si="0"/>
        <v>0</v>
      </c>
      <c r="F26" s="1603" t="s">
        <v>2232</v>
      </c>
      <c r="G26" s="1628" t="s">
        <v>104</v>
      </c>
      <c r="H26" s="1604">
        <f>IFERROR(VLOOKUP(Financeiros[[#This Row],[Tipo]],RefTabTipo[],2,FALSE),0)</f>
        <v>22</v>
      </c>
      <c r="I26" s="1634">
        <f>IFERROR(VLOOKUP(Financeiros[[#This Row],[Tipo]],RefTabTipo[],3,FALSE),0)</f>
        <v>60</v>
      </c>
      <c r="J26" s="1605">
        <f>IFERROR(VLOOKUP(Financeiros[[#This Row],[Tipo]],RefTabTipo[],4,FALSE),0)</f>
        <v>167</v>
      </c>
      <c r="K26" s="1640">
        <f>IFERROR(VLOOKUP(Financeiros[[#This Row],[Grupo Tarifário]],RefTabGrupoTarifa[],2,FALSE),0)</f>
        <v>4</v>
      </c>
      <c r="L26" s="1604">
        <f>IFERROR(VLOOKUP(Financeiros[[#This Row],[Grupo Tarifário]],RefTabGrupoTarifa[],3,FALSE),0)</f>
        <v>999</v>
      </c>
      <c r="M26" s="1640">
        <f>IFERROR(VLOOKUP(Financeiros[[#This Row],[Grupo Tarifário]],RefTabGrupoTarifa[],4,FALSE),0)</f>
        <v>9</v>
      </c>
      <c r="T26" s="847" t="s">
        <v>2258</v>
      </c>
      <c r="U26" s="847">
        <v>2</v>
      </c>
      <c r="V26" s="847">
        <v>30</v>
      </c>
      <c r="W26" s="847">
        <v>9</v>
      </c>
    </row>
    <row r="27" spans="3:23" ht="16.5" hidden="1">
      <c r="C27" s="1657" t="s">
        <v>2068</v>
      </c>
      <c r="D27" s="1658"/>
      <c r="E27" s="1623">
        <f t="shared" ca="1" si="0"/>
        <v>0</v>
      </c>
      <c r="F27" s="1603" t="s">
        <v>2237</v>
      </c>
      <c r="G27" s="1628" t="s">
        <v>2250</v>
      </c>
      <c r="H27" s="1604">
        <f>IFERROR(VLOOKUP(Financeiros[[#This Row],[Tipo]],RefTabTipo[],2,FALSE),0)</f>
        <v>22</v>
      </c>
      <c r="I27" s="1634">
        <f>IFERROR(VLOOKUP(Financeiros[[#This Row],[Tipo]],RefTabTipo[],3,FALSE),0)</f>
        <v>60</v>
      </c>
      <c r="J27" s="1605">
        <f>IFERROR(VLOOKUP(Financeiros[[#This Row],[Tipo]],RefTabTipo[],4,FALSE),0)</f>
        <v>999</v>
      </c>
      <c r="K27" s="1640">
        <f>IFERROR(VLOOKUP(Financeiros[[#This Row],[Grupo Tarifário]],RefTabGrupoTarifa[],2,FALSE),0)</f>
        <v>3</v>
      </c>
      <c r="L27" s="1604">
        <f>IFERROR(VLOOKUP(Financeiros[[#This Row],[Grupo Tarifário]],RefTabGrupoTarifa[],3,FALSE),0)</f>
        <v>28</v>
      </c>
      <c r="M27" s="1640">
        <f>IFERROR(VLOOKUP(Financeiros[[#This Row],[Grupo Tarifário]],RefTabGrupoTarifa[],4,FALSE),0)</f>
        <v>9</v>
      </c>
      <c r="T27" s="847" t="s">
        <v>2259</v>
      </c>
      <c r="U27" s="847">
        <v>2</v>
      </c>
      <c r="V27" s="847">
        <v>9</v>
      </c>
      <c r="W27" s="847">
        <v>9</v>
      </c>
    </row>
    <row r="28" spans="3:23" ht="16.5" hidden="1">
      <c r="C28" s="1617" t="s">
        <v>2046</v>
      </c>
      <c r="D28" s="1445"/>
      <c r="E28" s="1620">
        <f t="shared" ca="1" si="0"/>
        <v>0</v>
      </c>
      <c r="F28" s="1597" t="s">
        <v>2237</v>
      </c>
      <c r="G28" s="1625" t="s">
        <v>2258</v>
      </c>
      <c r="H28" s="1602">
        <f>IFERROR(VLOOKUP(Financeiros[[#This Row],[Tipo]],RefTabTipo[],2,FALSE),0)</f>
        <v>22</v>
      </c>
      <c r="I28" s="1631">
        <f>IFERROR(VLOOKUP(Financeiros[[#This Row],[Tipo]],RefTabTipo[],3,FALSE),0)</f>
        <v>60</v>
      </c>
      <c r="J28" s="1602">
        <f>IFERROR(VLOOKUP(Financeiros[[#This Row],[Tipo]],RefTabTipo[],4,FALSE),0)</f>
        <v>999</v>
      </c>
      <c r="K28" s="1631">
        <f>IFERROR(VLOOKUP(Financeiros[[#This Row],[Grupo Tarifário]],RefTabGrupoTarifa[],2,FALSE),0)</f>
        <v>2</v>
      </c>
      <c r="L28" s="1602">
        <f>IFERROR(VLOOKUP(Financeiros[[#This Row],[Grupo Tarifário]],RefTabGrupoTarifa[],3,FALSE),0)</f>
        <v>30</v>
      </c>
      <c r="M28" s="1631">
        <f>IFERROR(VLOOKUP(Financeiros[[#This Row],[Grupo Tarifário]],RefTabGrupoTarifa[],4,FALSE),0)</f>
        <v>9</v>
      </c>
      <c r="T28" s="847" t="s">
        <v>2260</v>
      </c>
      <c r="U28" s="847">
        <v>2</v>
      </c>
      <c r="V28" s="847">
        <v>10</v>
      </c>
      <c r="W28" s="847">
        <v>9</v>
      </c>
    </row>
    <row r="29" spans="3:23" ht="16.5">
      <c r="C29" s="1618" t="s">
        <v>1292</v>
      </c>
      <c r="D29" s="1445">
        <f>(Indexador!H49)</f>
        <v>-37581.75597822346</v>
      </c>
      <c r="E29" s="1620">
        <f t="shared" ca="1" si="0"/>
        <v>-1.69009896807783E-3</v>
      </c>
      <c r="F29" s="1663" t="s">
        <v>2239</v>
      </c>
      <c r="G29" s="1664" t="s">
        <v>2269</v>
      </c>
      <c r="H29" s="1665">
        <f>IFERROR(VLOOKUP(Financeiros[[#This Row],[Tipo]],RefTabTipo[],2,FALSE),0)</f>
        <v>22</v>
      </c>
      <c r="I29" s="1631">
        <f>IFERROR(VLOOKUP(Financeiros[[#This Row],[Tipo]],RefTabTipo[],3,FALSE),0)</f>
        <v>60</v>
      </c>
      <c r="J29" s="1602">
        <f>IFERROR(VLOOKUP(Financeiros[[#This Row],[Tipo]],RefTabTipo[],4,FALSE),0)</f>
        <v>178</v>
      </c>
      <c r="K29" s="1666">
        <f>IFERROR(VLOOKUP(Financeiros[[#This Row],[Grupo Tarifário]],RefTabGrupoTarifa[],2,FALSE),0)</f>
        <v>1</v>
      </c>
      <c r="L29" s="1665">
        <f>IFERROR(VLOOKUP(Financeiros[[#This Row],[Grupo Tarifário]],RefTabGrupoTarifa[],3,FALSE),0)</f>
        <v>7</v>
      </c>
      <c r="M29" s="1666">
        <f>IFERROR(VLOOKUP(Financeiros[[#This Row],[Grupo Tarifário]],RefTabGrupoTarifa[],4,FALSE),0)</f>
        <v>9</v>
      </c>
      <c r="T29" s="847" t="s">
        <v>2261</v>
      </c>
      <c r="U29" s="847">
        <v>2</v>
      </c>
      <c r="V29" s="847">
        <v>24</v>
      </c>
      <c r="W29" s="847">
        <v>9</v>
      </c>
    </row>
    <row r="30" spans="3:23" ht="16.5">
      <c r="C30" s="1618" t="s">
        <v>1293</v>
      </c>
      <c r="D30" s="1445">
        <f ca="1">-LnkTXTISubvencaoPB</f>
        <v>-3622155.4467763063</v>
      </c>
      <c r="E30" s="1620">
        <f t="shared" ca="1" si="0"/>
        <v>-0.16289289905350271</v>
      </c>
      <c r="F30" s="1663" t="s">
        <v>2414</v>
      </c>
      <c r="G30" s="1664" t="s">
        <v>104</v>
      </c>
      <c r="H30" s="1665">
        <f>IFERROR(VLOOKUP(Financeiros[[#This Row],[Tipo]],RefTabTipo[],2,FALSE),0)</f>
        <v>22</v>
      </c>
      <c r="I30" s="1631">
        <f>IFERROR(VLOOKUP(Financeiros[[#This Row],[Tipo]],RefTabTipo[],3,FALSE),0)</f>
        <v>60</v>
      </c>
      <c r="J30" s="1602">
        <f>IFERROR(VLOOKUP(Financeiros[[#This Row],[Tipo]],RefTabTipo[],4,FALSE),0)</f>
        <v>242</v>
      </c>
      <c r="K30" s="1666">
        <f>IFERROR(VLOOKUP(Financeiros[[#This Row],[Grupo Tarifário]],RefTabGrupoTarifa[],2,FALSE),0)</f>
        <v>4</v>
      </c>
      <c r="L30" s="1665">
        <f>IFERROR(VLOOKUP(Financeiros[[#This Row],[Grupo Tarifário]],RefTabGrupoTarifa[],3,FALSE),0)</f>
        <v>999</v>
      </c>
      <c r="M30" s="1666">
        <f>IFERROR(VLOOKUP(Financeiros[[#This Row],[Grupo Tarifário]],RefTabGrupoTarifa[],4,FALSE),0)</f>
        <v>9</v>
      </c>
      <c r="T30" s="847" t="s">
        <v>2262</v>
      </c>
      <c r="U30" s="847">
        <v>2</v>
      </c>
      <c r="V30" s="847">
        <v>8</v>
      </c>
      <c r="W30" s="847">
        <v>9</v>
      </c>
    </row>
    <row r="31" spans="3:23" ht="16.5" hidden="1">
      <c r="C31" s="1617" t="s">
        <v>1294</v>
      </c>
      <c r="D31" s="1445">
        <f>IFERROR(-ABS(Indexador!$L$49),0)</f>
        <v>0</v>
      </c>
      <c r="E31" s="1620">
        <f t="shared" ca="1" si="0"/>
        <v>0</v>
      </c>
      <c r="F31" s="1663" t="s">
        <v>2237</v>
      </c>
      <c r="G31" s="1664" t="s">
        <v>2258</v>
      </c>
      <c r="H31" s="1665">
        <f>IFERROR(VLOOKUP(Financeiros[[#This Row],[Tipo]],RefTabTipo[],2,FALSE),0)</f>
        <v>22</v>
      </c>
      <c r="I31" s="1631">
        <f>IFERROR(VLOOKUP(Financeiros[[#This Row],[Tipo]],RefTabTipo[],3,FALSE),0)</f>
        <v>60</v>
      </c>
      <c r="J31" s="1602">
        <f>IFERROR(VLOOKUP(Financeiros[[#This Row],[Tipo]],RefTabTipo[],4,FALSE),0)</f>
        <v>999</v>
      </c>
      <c r="K31" s="1666">
        <f>IFERROR(VLOOKUP(Financeiros[[#This Row],[Grupo Tarifário]],RefTabGrupoTarifa[],2,FALSE),0)</f>
        <v>2</v>
      </c>
      <c r="L31" s="1665">
        <f>IFERROR(VLOOKUP(Financeiros[[#This Row],[Grupo Tarifário]],RefTabGrupoTarifa[],3,FALSE),0)</f>
        <v>30</v>
      </c>
      <c r="M31" s="1666">
        <f>IFERROR(VLOOKUP(Financeiros[[#This Row],[Grupo Tarifário]],RefTabGrupoTarifa[],4,FALSE),0)</f>
        <v>9</v>
      </c>
      <c r="N31" s="92"/>
      <c r="T31" s="847" t="s">
        <v>2263</v>
      </c>
      <c r="U31" s="847">
        <v>3</v>
      </c>
      <c r="V31" s="847">
        <v>40</v>
      </c>
      <c r="W31" s="847">
        <v>9</v>
      </c>
    </row>
    <row r="32" spans="3:23" ht="16.5" hidden="1">
      <c r="C32" s="1617" t="s">
        <v>1295</v>
      </c>
      <c r="D32" s="1445"/>
      <c r="E32" s="1620">
        <f t="shared" ca="1" si="0"/>
        <v>0</v>
      </c>
      <c r="F32" s="1663" t="s">
        <v>2234</v>
      </c>
      <c r="G32" s="1664" t="s">
        <v>104</v>
      </c>
      <c r="H32" s="1665">
        <f>IFERROR(VLOOKUP(Financeiros[[#This Row],[Tipo]],RefTabTipo[],2,FALSE),0)</f>
        <v>22</v>
      </c>
      <c r="I32" s="1631">
        <f>IFERROR(VLOOKUP(Financeiros[[#This Row],[Tipo]],RefTabTipo[],3,FALSE),0)</f>
        <v>60</v>
      </c>
      <c r="J32" s="1602">
        <f>IFERROR(VLOOKUP(Financeiros[[#This Row],[Tipo]],RefTabTipo[],4,FALSE),0)</f>
        <v>120</v>
      </c>
      <c r="K32" s="1666">
        <f>IFERROR(VLOOKUP(Financeiros[[#This Row],[Grupo Tarifário]],RefTabGrupoTarifa[],2,FALSE),0)</f>
        <v>4</v>
      </c>
      <c r="L32" s="1665">
        <f>IFERROR(VLOOKUP(Financeiros[[#This Row],[Grupo Tarifário]],RefTabGrupoTarifa[],3,FALSE),0)</f>
        <v>999</v>
      </c>
      <c r="M32" s="1666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 hidden="1">
      <c r="C33" s="1618" t="s">
        <v>1296</v>
      </c>
      <c r="D33" s="1445">
        <f>'Tributos suprimento'!$E$18</f>
        <v>0</v>
      </c>
      <c r="E33" s="1620">
        <f t="shared" ca="1" si="0"/>
        <v>0</v>
      </c>
      <c r="F33" s="1663" t="s">
        <v>2237</v>
      </c>
      <c r="G33" s="1664" t="s">
        <v>2269</v>
      </c>
      <c r="H33" s="1665">
        <f>IFERROR(VLOOKUP(Financeiros[[#This Row],[Tipo]],RefTabTipo[],2,FALSE),0)</f>
        <v>22</v>
      </c>
      <c r="I33" s="1631">
        <f>IFERROR(VLOOKUP(Financeiros[[#This Row],[Tipo]],RefTabTipo[],3,FALSE),0)</f>
        <v>60</v>
      </c>
      <c r="J33" s="1602">
        <f>IFERROR(VLOOKUP(Financeiros[[#This Row],[Tipo]],RefTabTipo[],4,FALSE),0)</f>
        <v>999</v>
      </c>
      <c r="K33" s="1666">
        <f>IFERROR(VLOOKUP(Financeiros[[#This Row],[Grupo Tarifário]],RefTabGrupoTarifa[],2,FALSE),0)</f>
        <v>1</v>
      </c>
      <c r="L33" s="1665">
        <f>IFERROR(VLOOKUP(Financeiros[[#This Row],[Grupo Tarifário]],RefTabGrupoTarifa[],3,FALSE),0)</f>
        <v>7</v>
      </c>
      <c r="M33" s="1666">
        <f>IFERROR(VLOOKUP(Financeiros[[#This Row],[Grupo Tarifário]],RefTabGrupoTarifa[],4,FALSE),0)</f>
        <v>9</v>
      </c>
      <c r="N33" s="92"/>
      <c r="T33" s="847" t="s">
        <v>2264</v>
      </c>
      <c r="U33" s="847">
        <v>5</v>
      </c>
      <c r="V33" s="847">
        <v>999</v>
      </c>
      <c r="W33" s="847">
        <v>9</v>
      </c>
    </row>
    <row r="34" spans="3:23" ht="16.5" hidden="1">
      <c r="C34" s="1618" t="s">
        <v>1297</v>
      </c>
      <c r="D34" s="1445">
        <f>'Tributos suprimento'!$E$19</f>
        <v>0</v>
      </c>
      <c r="E34" s="1620">
        <f t="shared" ca="1" si="0"/>
        <v>0</v>
      </c>
      <c r="F34" s="1663" t="s">
        <v>2237</v>
      </c>
      <c r="G34" s="1664" t="s">
        <v>2258</v>
      </c>
      <c r="H34" s="1665">
        <f>IFERROR(VLOOKUP(Financeiros[[#This Row],[Tipo]],RefTabTipo[],2,FALSE),0)</f>
        <v>22</v>
      </c>
      <c r="I34" s="1631">
        <f>IFERROR(VLOOKUP(Financeiros[[#This Row],[Tipo]],RefTabTipo[],3,FALSE),0)</f>
        <v>60</v>
      </c>
      <c r="J34" s="1602">
        <f>IFERROR(VLOOKUP(Financeiros[[#This Row],[Tipo]],RefTabTipo[],4,FALSE),0)</f>
        <v>999</v>
      </c>
      <c r="K34" s="1666">
        <f>IFERROR(VLOOKUP(Financeiros[[#This Row],[Grupo Tarifário]],RefTabGrupoTarifa[],2,FALSE),0)</f>
        <v>2</v>
      </c>
      <c r="L34" s="1665">
        <f>IFERROR(VLOOKUP(Financeiros[[#This Row],[Grupo Tarifário]],RefTabGrupoTarifa[],3,FALSE),0)</f>
        <v>30</v>
      </c>
      <c r="M34" s="1666">
        <f>IFERROR(VLOOKUP(Financeiros[[#This Row],[Grupo Tarifário]],RefTabGrupoTarifa[],4,FALSE),0)</f>
        <v>9</v>
      </c>
      <c r="T34" s="847" t="s">
        <v>2265</v>
      </c>
      <c r="U34" s="847">
        <v>1</v>
      </c>
      <c r="V34" s="847">
        <v>1</v>
      </c>
      <c r="W34" s="847">
        <v>9</v>
      </c>
    </row>
    <row r="35" spans="3:23" ht="16.5" hidden="1">
      <c r="C35" s="1618" t="s">
        <v>1298</v>
      </c>
      <c r="D35" s="625"/>
      <c r="E35" s="1620">
        <f t="shared" ca="1" si="0"/>
        <v>0</v>
      </c>
      <c r="F35" s="1663" t="s">
        <v>2237</v>
      </c>
      <c r="G35" s="1664" t="s">
        <v>2253</v>
      </c>
      <c r="H35" s="1665">
        <f>IFERROR(VLOOKUP(Financeiros[[#This Row],[Tipo]],RefTabTipo[],2,FALSE),0)</f>
        <v>22</v>
      </c>
      <c r="I35" s="1631">
        <f>IFERROR(VLOOKUP(Financeiros[[#This Row],[Tipo]],RefTabTipo[],3,FALSE),0)</f>
        <v>60</v>
      </c>
      <c r="J35" s="1602">
        <f>IFERROR(VLOOKUP(Financeiros[[#This Row],[Tipo]],RefTabTipo[],4,FALSE),0)</f>
        <v>999</v>
      </c>
      <c r="K35" s="1666">
        <f>IFERROR(VLOOKUP(Financeiros[[#This Row],[Grupo Tarifário]],RefTabGrupoTarifa[],2,FALSE),0)</f>
        <v>3</v>
      </c>
      <c r="L35" s="1665">
        <f>IFERROR(VLOOKUP(Financeiros[[#This Row],[Grupo Tarifário]],RefTabGrupoTarifa[],3,FALSE),0)</f>
        <v>19</v>
      </c>
      <c r="M35" s="1666">
        <f>IFERROR(VLOOKUP(Financeiros[[#This Row],[Grupo Tarifário]],RefTabGrupoTarifa[],4,FALSE),0)</f>
        <v>9</v>
      </c>
      <c r="T35" s="847" t="s">
        <v>2266</v>
      </c>
      <c r="U35" s="847">
        <v>1</v>
      </c>
      <c r="V35" s="847">
        <v>22</v>
      </c>
      <c r="W35" s="847">
        <v>9</v>
      </c>
    </row>
    <row r="36" spans="3:23" ht="16.5" hidden="1">
      <c r="C36" s="1618" t="s">
        <v>1299</v>
      </c>
      <c r="D36" s="1667"/>
      <c r="E36" s="1620">
        <f t="shared" ca="1" si="0"/>
        <v>0</v>
      </c>
      <c r="F36" s="1663" t="s">
        <v>2237</v>
      </c>
      <c r="G36" s="1664" t="s">
        <v>104</v>
      </c>
      <c r="H36" s="1665">
        <f>IFERROR(VLOOKUP(Financeiros[[#This Row],[Tipo]],RefTabTipo[],2,FALSE),0)</f>
        <v>22</v>
      </c>
      <c r="I36" s="1631">
        <f>IFERROR(VLOOKUP(Financeiros[[#This Row],[Tipo]],RefTabTipo[],3,FALSE),0)</f>
        <v>60</v>
      </c>
      <c r="J36" s="1602">
        <f>IFERROR(VLOOKUP(Financeiros[[#This Row],[Tipo]],RefTabTipo[],4,FALSE),0)</f>
        <v>999</v>
      </c>
      <c r="K36" s="1666">
        <f>IFERROR(VLOOKUP(Financeiros[[#This Row],[Grupo Tarifário]],RefTabGrupoTarifa[],2,FALSE),0)</f>
        <v>4</v>
      </c>
      <c r="L36" s="1665">
        <f>IFERROR(VLOOKUP(Financeiros[[#This Row],[Grupo Tarifário]],RefTabGrupoTarifa[],3,FALSE),0)</f>
        <v>999</v>
      </c>
      <c r="M36" s="1666">
        <f>IFERROR(VLOOKUP(Financeiros[[#This Row],[Grupo Tarifário]],RefTabGrupoTarifa[],4,FALSE),0)</f>
        <v>9</v>
      </c>
      <c r="T36" s="847" t="s">
        <v>2267</v>
      </c>
      <c r="U36" s="847">
        <v>1</v>
      </c>
      <c r="V36" s="847">
        <v>4</v>
      </c>
      <c r="W36" s="847">
        <v>9</v>
      </c>
    </row>
    <row r="37" spans="3:23" ht="16.5" hidden="1">
      <c r="C37" s="1618" t="s">
        <v>2403</v>
      </c>
      <c r="D37" s="1668"/>
      <c r="E37" s="1620">
        <f t="shared" ca="1" si="0"/>
        <v>0</v>
      </c>
      <c r="F37" s="1663" t="s">
        <v>2237</v>
      </c>
      <c r="G37" s="1664" t="s">
        <v>104</v>
      </c>
      <c r="H37" s="1665">
        <v>20</v>
      </c>
      <c r="I37" s="1631">
        <v>60</v>
      </c>
      <c r="J37" s="1602">
        <v>999</v>
      </c>
      <c r="K37" s="1666">
        <v>4</v>
      </c>
      <c r="L37" s="1665">
        <v>999</v>
      </c>
      <c r="M37" s="1666">
        <v>9</v>
      </c>
      <c r="T37" s="847" t="s">
        <v>2268</v>
      </c>
      <c r="U37" s="847">
        <v>1</v>
      </c>
      <c r="V37" s="847">
        <v>3</v>
      </c>
      <c r="W37" s="847">
        <v>9</v>
      </c>
    </row>
    <row r="38" spans="3:23" ht="16.5" hidden="1">
      <c r="C38" s="1618" t="s">
        <v>1300</v>
      </c>
      <c r="D38" s="1445"/>
      <c r="E38" s="1620">
        <f t="shared" ca="1" si="0"/>
        <v>0</v>
      </c>
      <c r="F38" s="1663" t="s">
        <v>2237</v>
      </c>
      <c r="G38" s="1664" t="s">
        <v>2258</v>
      </c>
      <c r="H38" s="1665">
        <f>IFERROR(VLOOKUP(Financeiros[[#This Row],[Tipo]],RefTabTipo[],2,FALSE),0)</f>
        <v>22</v>
      </c>
      <c r="I38" s="1631">
        <f>IFERROR(VLOOKUP(Financeiros[[#This Row],[Tipo]],RefTabTipo[],3,FALSE),0)</f>
        <v>60</v>
      </c>
      <c r="J38" s="1602">
        <f>IFERROR(VLOOKUP(Financeiros[[#This Row],[Tipo]],RefTabTipo[],4,FALSE),0)</f>
        <v>999</v>
      </c>
      <c r="K38" s="1666">
        <f>IFERROR(VLOOKUP(Financeiros[[#This Row],[Grupo Tarifário]],RefTabGrupoTarifa[],2,FALSE),0)</f>
        <v>2</v>
      </c>
      <c r="L38" s="1665">
        <f>IFERROR(VLOOKUP(Financeiros[[#This Row],[Grupo Tarifário]],RefTabGrupoTarifa[],3,FALSE),0)</f>
        <v>30</v>
      </c>
      <c r="M38" s="1666">
        <f>IFERROR(VLOOKUP(Financeiros[[#This Row],[Grupo Tarifário]],RefTabGrupoTarifa[],4,FALSE),0)</f>
        <v>9</v>
      </c>
      <c r="T38" s="847" t="s">
        <v>2269</v>
      </c>
      <c r="U38" s="847">
        <v>1</v>
      </c>
      <c r="V38" s="847">
        <v>7</v>
      </c>
      <c r="W38" s="847">
        <v>9</v>
      </c>
    </row>
    <row r="39" spans="3:23" ht="16.5" hidden="1">
      <c r="C39" s="1618" t="s">
        <v>1301</v>
      </c>
      <c r="D39" s="1445">
        <f>-ABS(PIS_COFINS!$R$4)</f>
        <v>0</v>
      </c>
      <c r="E39" s="1620">
        <f t="shared" ca="1" si="0"/>
        <v>0</v>
      </c>
      <c r="F39" s="1663" t="s">
        <v>2236</v>
      </c>
      <c r="G39" s="1664" t="s">
        <v>2243</v>
      </c>
      <c r="H39" s="1665">
        <f>IFERROR(VLOOKUP(Financeiros[[#This Row],[Tipo]],RefTabTipo[],2,FALSE),0)</f>
        <v>22</v>
      </c>
      <c r="I39" s="1631">
        <f>IFERROR(VLOOKUP(Financeiros[[#This Row],[Tipo]],RefTabTipo[],3,FALSE),0)</f>
        <v>60</v>
      </c>
      <c r="J39" s="1602">
        <f>IFERROR(VLOOKUP(Financeiros[[#This Row],[Tipo]],RefTabTipo[],4,FALSE),0)</f>
        <v>179</v>
      </c>
      <c r="K39" s="1666">
        <f>IFERROR(VLOOKUP(Financeiros[[#This Row],[Grupo Tarifário]],RefTabGrupoTarifa[],2,FALSE),0)</f>
        <v>99</v>
      </c>
      <c r="L39" s="1665">
        <f>IFERROR(VLOOKUP(Financeiros[[#This Row],[Grupo Tarifário]],RefTabGrupoTarifa[],3,FALSE),0)</f>
        <v>999</v>
      </c>
      <c r="M39" s="1666">
        <f>IFERROR(VLOOKUP(Financeiros[[#This Row],[Grupo Tarifário]],RefTabGrupoTarifa[],4,FALSE),0)</f>
        <v>3</v>
      </c>
      <c r="T39" s="847" t="s">
        <v>2270</v>
      </c>
      <c r="U39" s="847">
        <v>1</v>
      </c>
      <c r="V39" s="847">
        <v>23</v>
      </c>
      <c r="W39" s="847">
        <v>9</v>
      </c>
    </row>
    <row r="40" spans="3:23" ht="16.5" hidden="1">
      <c r="C40" s="1618" t="s">
        <v>1302</v>
      </c>
      <c r="D40" s="1445"/>
      <c r="E40" s="1620">
        <f t="shared" ca="1" si="0"/>
        <v>0</v>
      </c>
      <c r="F40" s="1663" t="s">
        <v>2237</v>
      </c>
      <c r="G40" s="1664" t="s">
        <v>2269</v>
      </c>
      <c r="H40" s="1665">
        <f>IFERROR(VLOOKUP(Financeiros[[#This Row],[Tipo]],RefTabTipo[],2,FALSE),0)</f>
        <v>22</v>
      </c>
      <c r="I40" s="1631">
        <f>IFERROR(VLOOKUP(Financeiros[[#This Row],[Tipo]],RefTabTipo[],3,FALSE),0)</f>
        <v>60</v>
      </c>
      <c r="J40" s="1602">
        <f>IFERROR(VLOOKUP(Financeiros[[#This Row],[Tipo]],RefTabTipo[],4,FALSE),0)</f>
        <v>999</v>
      </c>
      <c r="K40" s="1666">
        <f>IFERROR(VLOOKUP(Financeiros[[#This Row],[Grupo Tarifário]],RefTabGrupoTarifa[],2,FALSE),0)</f>
        <v>1</v>
      </c>
      <c r="L40" s="1665">
        <f>IFERROR(VLOOKUP(Financeiros[[#This Row],[Grupo Tarifário]],RefTabGrupoTarifa[],3,FALSE),0)</f>
        <v>7</v>
      </c>
      <c r="M40" s="1666">
        <f>IFERROR(VLOOKUP(Financeiros[[#This Row],[Grupo Tarifário]],RefTabGrupoTarifa[],4,FALSE),0)</f>
        <v>9</v>
      </c>
      <c r="T40" s="847" t="s">
        <v>2271</v>
      </c>
      <c r="U40" s="847">
        <v>1</v>
      </c>
      <c r="V40" s="847">
        <v>2</v>
      </c>
      <c r="W40" s="847">
        <v>9</v>
      </c>
    </row>
    <row r="41" spans="3:23" ht="16.5" hidden="1">
      <c r="C41" s="1618" t="s">
        <v>1303</v>
      </c>
      <c r="D41" s="1445"/>
      <c r="E41" s="1620">
        <f t="shared" ca="1" si="0"/>
        <v>0</v>
      </c>
      <c r="F41" s="1663" t="s">
        <v>2237</v>
      </c>
      <c r="G41" s="1664" t="s">
        <v>2258</v>
      </c>
      <c r="H41" s="1665">
        <f>IFERROR(VLOOKUP(Financeiros[[#This Row],[Tipo]],RefTabTipo[],2,FALSE),0)</f>
        <v>22</v>
      </c>
      <c r="I41" s="1631">
        <f>IFERROR(VLOOKUP(Financeiros[[#This Row],[Tipo]],RefTabTipo[],3,FALSE),0)</f>
        <v>60</v>
      </c>
      <c r="J41" s="1602">
        <f>IFERROR(VLOOKUP(Financeiros[[#This Row],[Tipo]],RefTabTipo[],4,FALSE),0)</f>
        <v>999</v>
      </c>
      <c r="K41" s="1666">
        <f>IFERROR(VLOOKUP(Financeiros[[#This Row],[Grupo Tarifário]],RefTabGrupoTarifa[],2,FALSE),0)</f>
        <v>2</v>
      </c>
      <c r="L41" s="1665">
        <f>IFERROR(VLOOKUP(Financeiros[[#This Row],[Grupo Tarifário]],RefTabGrupoTarifa[],3,FALSE),0)</f>
        <v>30</v>
      </c>
      <c r="M41" s="1666">
        <f>IFERROR(VLOOKUP(Financeiros[[#This Row],[Grupo Tarifário]],RefTabGrupoTarifa[],4,FALSE),0)</f>
        <v>9</v>
      </c>
      <c r="T41" s="847" t="s">
        <v>2272</v>
      </c>
      <c r="U41" s="847">
        <v>1</v>
      </c>
      <c r="V41" s="847">
        <v>1</v>
      </c>
      <c r="W41" s="847">
        <v>9</v>
      </c>
    </row>
    <row r="42" spans="3:23" ht="16.5">
      <c r="C42" s="1618" t="s">
        <v>1304</v>
      </c>
      <c r="D42" s="1445">
        <f>'Financeiros Mitigação'!$D$12</f>
        <v>-4199.08</v>
      </c>
      <c r="E42" s="1620">
        <f t="shared" ca="1" si="0"/>
        <v>-1.8883792388488954E-4</v>
      </c>
      <c r="F42" s="1663" t="s">
        <v>2237</v>
      </c>
      <c r="G42" s="1664" t="s">
        <v>104</v>
      </c>
      <c r="H42" s="1665">
        <f>IFERROR(VLOOKUP(Financeiros[[#This Row],[Tipo]],RefTabTipo[],2,FALSE),0)</f>
        <v>22</v>
      </c>
      <c r="I42" s="1631">
        <f>IFERROR(VLOOKUP(Financeiros[[#This Row],[Tipo]],RefTabTipo[],3,FALSE),0)</f>
        <v>60</v>
      </c>
      <c r="J42" s="1602">
        <f>IFERROR(VLOOKUP(Financeiros[[#This Row],[Tipo]],RefTabTipo[],4,FALSE),0)</f>
        <v>999</v>
      </c>
      <c r="K42" s="1666">
        <f>IFERROR(VLOOKUP(Financeiros[[#This Row],[Grupo Tarifário]],RefTabGrupoTarifa[],2,FALSE),0)</f>
        <v>4</v>
      </c>
      <c r="L42" s="1665">
        <f>IFERROR(VLOOKUP(Financeiros[[#This Row],[Grupo Tarifário]],RefTabGrupoTarifa[],3,FALSE),0)</f>
        <v>999</v>
      </c>
      <c r="M42" s="1666">
        <f>IFERROR(VLOOKUP(Financeiros[[#This Row],[Grupo Tarifário]],RefTabGrupoTarifa[],4,FALSE),0)</f>
        <v>9</v>
      </c>
      <c r="T42" s="847" t="s">
        <v>2273</v>
      </c>
      <c r="U42" s="847">
        <v>1</v>
      </c>
      <c r="V42" s="847">
        <v>21</v>
      </c>
      <c r="W42" s="847">
        <v>9</v>
      </c>
    </row>
    <row r="43" spans="3:23" ht="16.5" hidden="1">
      <c r="C43" s="1618" t="s">
        <v>2277</v>
      </c>
      <c r="D43" s="1445"/>
      <c r="E43" s="1620">
        <f t="shared" ca="1" si="0"/>
        <v>0</v>
      </c>
      <c r="F43" s="1663" t="s">
        <v>2230</v>
      </c>
      <c r="G43" s="1664" t="s">
        <v>104</v>
      </c>
      <c r="H43" s="1669">
        <f>IFERROR(VLOOKUP(Financeiros[[#This Row],[Tipo]],RefTabTipo[],2,FALSE),0)</f>
        <v>22</v>
      </c>
      <c r="I43" s="1631">
        <f>IFERROR(VLOOKUP(Financeiros[[#This Row],[Tipo]],RefTabTipo[],3,FALSE),0)</f>
        <v>60</v>
      </c>
      <c r="J43" s="1602">
        <f>IFERROR(VLOOKUP(Financeiros[[#This Row],[Tipo]],RefTabTipo[],4,FALSE),0)</f>
        <v>235</v>
      </c>
      <c r="K43" s="1670">
        <f>IFERROR(VLOOKUP(Financeiros[[#This Row],[Grupo Tarifário]],RefTabGrupoTarifa[],2,FALSE),0)</f>
        <v>4</v>
      </c>
      <c r="L43" s="1669">
        <f>IFERROR(VLOOKUP(Financeiros[[#This Row],[Grupo Tarifário]],RefTabGrupoTarifa[],3,FALSE),0)</f>
        <v>999</v>
      </c>
      <c r="M43" s="1670">
        <f>IFERROR(VLOOKUP(Financeiros[[#This Row],[Grupo Tarifário]],RefTabGrupoTarifa[],4,FALSE),0)</f>
        <v>9</v>
      </c>
      <c r="T43" s="847" t="s">
        <v>2274</v>
      </c>
      <c r="U43" s="847">
        <v>1</v>
      </c>
      <c r="V43" s="847">
        <v>5</v>
      </c>
      <c r="W43" s="847">
        <v>9</v>
      </c>
    </row>
    <row r="44" spans="3:23" ht="16.5" hidden="1">
      <c r="C44" s="1618" t="s">
        <v>2415</v>
      </c>
      <c r="D44" s="1445"/>
      <c r="E44" s="1620">
        <f t="shared" ca="1" si="0"/>
        <v>0</v>
      </c>
      <c r="F44" s="1663" t="s">
        <v>2237</v>
      </c>
      <c r="G44" s="1664" t="s">
        <v>2258</v>
      </c>
      <c r="H44" s="1669">
        <f>IFERROR(VLOOKUP(Financeiros[[#This Row],[Tipo]],RefTabTipo[],2,FALSE),0)</f>
        <v>22</v>
      </c>
      <c r="I44" s="1631">
        <f>IFERROR(VLOOKUP(Financeiros[[#This Row],[Tipo]],RefTabTipo[],3,FALSE),0)</f>
        <v>60</v>
      </c>
      <c r="J44" s="1602">
        <f>IFERROR(VLOOKUP(Financeiros[[#This Row],[Tipo]],RefTabTipo[],4,FALSE),0)</f>
        <v>999</v>
      </c>
      <c r="K44" s="1670">
        <f>IFERROR(VLOOKUP(Financeiros[[#This Row],[Grupo Tarifário]],RefTabGrupoTarifa[],2,FALSE),0)</f>
        <v>2</v>
      </c>
      <c r="L44" s="1669">
        <f>IFERROR(VLOOKUP(Financeiros[[#This Row],[Grupo Tarifário]],RefTabGrupoTarifa[],3,FALSE),0)</f>
        <v>30</v>
      </c>
      <c r="M44" s="1670">
        <f>IFERROR(VLOOKUP(Financeiros[[#This Row],[Grupo Tarifário]],RefTabGrupoTarifa[],4,FALSE),0)</f>
        <v>9</v>
      </c>
      <c r="T44" s="847" t="s">
        <v>2275</v>
      </c>
      <c r="U44" s="847">
        <v>1</v>
      </c>
      <c r="V44" s="847">
        <v>6</v>
      </c>
      <c r="W44" s="847">
        <v>9</v>
      </c>
    </row>
    <row r="45" spans="3:23" ht="16.5" hidden="1">
      <c r="C45" s="1618" t="s">
        <v>2407</v>
      </c>
      <c r="D45" s="1445"/>
      <c r="E45" s="1620">
        <f t="shared" ca="1" si="0"/>
        <v>0</v>
      </c>
      <c r="F45" s="1663" t="s">
        <v>2237</v>
      </c>
      <c r="G45" s="1664" t="s">
        <v>2258</v>
      </c>
      <c r="H45" s="1669">
        <f>IFERROR(VLOOKUP(Financeiros[[#This Row],[Tipo]],RefTabTipo[],2,FALSE),0)</f>
        <v>22</v>
      </c>
      <c r="I45" s="1631">
        <f>IFERROR(VLOOKUP(Financeiros[[#This Row],[Tipo]],RefTabTipo[],3,FALSE),0)</f>
        <v>60</v>
      </c>
      <c r="J45" s="1602">
        <f>IFERROR(VLOOKUP(Financeiros[[#This Row],[Tipo]],RefTabTipo[],4,FALSE),0)</f>
        <v>999</v>
      </c>
      <c r="K45" s="1670">
        <f>IFERROR(VLOOKUP(Financeiros[[#This Row],[Grupo Tarifário]],RefTabGrupoTarifa[],2,FALSE),0)</f>
        <v>2</v>
      </c>
      <c r="L45" s="1669">
        <f>IFERROR(VLOOKUP(Financeiros[[#This Row],[Grupo Tarifário]],RefTabGrupoTarifa[],3,FALSE),0)</f>
        <v>30</v>
      </c>
      <c r="M45" s="1670">
        <f>IFERROR(VLOOKUP(Financeiros[[#This Row],[Grupo Tarifário]],RefTabGrupoTarifa[],4,FALSE),0)</f>
        <v>9</v>
      </c>
      <c r="T45" s="847"/>
      <c r="U45" s="847"/>
      <c r="V45" s="847"/>
      <c r="W45" s="847"/>
    </row>
    <row r="46" spans="3:23" ht="16.5" hidden="1">
      <c r="C46" s="1618" t="s">
        <v>2406</v>
      </c>
      <c r="D46" s="1445"/>
      <c r="E46" s="1620">
        <f t="shared" ca="1" si="0"/>
        <v>0</v>
      </c>
      <c r="F46" s="1663" t="s">
        <v>2237</v>
      </c>
      <c r="G46" s="1664" t="s">
        <v>104</v>
      </c>
      <c r="H46" s="1665">
        <v>20</v>
      </c>
      <c r="I46" s="1631">
        <v>60</v>
      </c>
      <c r="J46" s="1602">
        <v>999</v>
      </c>
      <c r="K46" s="1666">
        <v>4</v>
      </c>
      <c r="L46" s="1665">
        <v>999</v>
      </c>
      <c r="M46" s="1666">
        <v>9</v>
      </c>
      <c r="T46" s="847"/>
      <c r="U46" s="847"/>
      <c r="V46" s="847"/>
      <c r="W46" s="847"/>
    </row>
    <row r="47" spans="3:23" ht="16.5" hidden="1">
      <c r="C47" s="1618" t="s">
        <v>2409</v>
      </c>
      <c r="D47" s="1445"/>
      <c r="E47" s="1620">
        <f t="shared" ca="1" si="0"/>
        <v>0</v>
      </c>
      <c r="F47" s="1663" t="s">
        <v>2237</v>
      </c>
      <c r="G47" s="1664" t="s">
        <v>2269</v>
      </c>
      <c r="H47" s="1665">
        <v>22</v>
      </c>
      <c r="I47" s="1631">
        <v>60</v>
      </c>
      <c r="J47" s="1602">
        <v>999</v>
      </c>
      <c r="K47" s="1666">
        <v>1</v>
      </c>
      <c r="L47" s="1665">
        <v>7</v>
      </c>
      <c r="M47" s="1666">
        <v>9</v>
      </c>
    </row>
    <row r="48" spans="3:23" ht="16.5" hidden="1">
      <c r="C48" s="1618" t="s">
        <v>2410</v>
      </c>
      <c r="D48" s="1445"/>
      <c r="E48" s="1620">
        <f t="shared" ca="1" si="0"/>
        <v>0</v>
      </c>
      <c r="F48" s="1663" t="s">
        <v>2237</v>
      </c>
      <c r="G48" s="1664" t="s">
        <v>2258</v>
      </c>
      <c r="H48" s="1665">
        <v>22</v>
      </c>
      <c r="I48" s="1631">
        <v>60</v>
      </c>
      <c r="J48" s="1602">
        <v>999</v>
      </c>
      <c r="K48" s="1666">
        <v>2</v>
      </c>
      <c r="L48" s="1665">
        <v>30</v>
      </c>
      <c r="M48" s="1666">
        <v>9</v>
      </c>
    </row>
    <row r="49" spans="3:13" ht="16.5" hidden="1">
      <c r="C49" s="1659" t="s">
        <v>2103</v>
      </c>
      <c r="D49" s="1756">
        <f>CVE!$D$9</f>
        <v>0</v>
      </c>
      <c r="E49" s="1621">
        <f t="shared" ca="1" si="0"/>
        <v>0</v>
      </c>
      <c r="F49" s="1609" t="s">
        <v>2233</v>
      </c>
      <c r="G49" s="1626" t="s">
        <v>2245</v>
      </c>
      <c r="H49" s="1610">
        <f>IFERROR(VLOOKUP(Financeiros[[#This Row],[Tipo]],RefTabTipo[],2,FALSE),0)</f>
        <v>22</v>
      </c>
      <c r="I49" s="1632">
        <f>IFERROR(VLOOKUP(Financeiros[[#This Row],[Tipo]],RefTabTipo[],3,FALSE),0)</f>
        <v>60</v>
      </c>
      <c r="J49" s="1611">
        <f>IFERROR(VLOOKUP(Financeiros[[#This Row],[Tipo]],RefTabTipo[],4,FALSE),0)</f>
        <v>241</v>
      </c>
      <c r="K49" s="1638">
        <f>IFERROR(VLOOKUP(Financeiros[[#This Row],[Grupo Tarifário]],RefTabGrupoTarifa[],2,FALSE),0)</f>
        <v>3</v>
      </c>
      <c r="L49" s="1610">
        <f>IFERROR(VLOOKUP(Financeiros[[#This Row],[Grupo Tarifário]],RefTabGrupoTarifa[],3,FALSE),0)</f>
        <v>13</v>
      </c>
      <c r="M49" s="1638">
        <f>IFERROR(VLOOKUP(Financeiros[[#This Row],[Grupo Tarifário]],RefTabGrupoTarifa[],4,FALSE),0)</f>
        <v>9</v>
      </c>
    </row>
    <row r="50" spans="3:13" ht="16.5" hidden="1">
      <c r="C50" s="1659" t="s">
        <v>2104</v>
      </c>
      <c r="D50" s="1756">
        <f>CVE!$D$10</f>
        <v>0</v>
      </c>
      <c r="E50" s="1621">
        <f t="shared" ca="1" si="0"/>
        <v>0</v>
      </c>
      <c r="F50" s="1609" t="s">
        <v>2233</v>
      </c>
      <c r="G50" s="1626" t="s">
        <v>2247</v>
      </c>
      <c r="H50" s="1610">
        <f>IFERROR(VLOOKUP(Financeiros[[#This Row],[Tipo]],RefTabTipo[],2,FALSE),0)</f>
        <v>22</v>
      </c>
      <c r="I50" s="1632">
        <f>IFERROR(VLOOKUP(Financeiros[[#This Row],[Tipo]],RefTabTipo[],3,FALSE),0)</f>
        <v>60</v>
      </c>
      <c r="J50" s="1611">
        <f>IFERROR(VLOOKUP(Financeiros[[#This Row],[Tipo]],RefTabTipo[],4,FALSE),0)</f>
        <v>241</v>
      </c>
      <c r="K50" s="1638">
        <f>IFERROR(VLOOKUP(Financeiros[[#This Row],[Grupo Tarifário]],RefTabGrupoTarifa[],2,FALSE),0)</f>
        <v>3</v>
      </c>
      <c r="L50" s="1610">
        <f>IFERROR(VLOOKUP(Financeiros[[#This Row],[Grupo Tarifário]],RefTabGrupoTarifa[],3,FALSE),0)</f>
        <v>15</v>
      </c>
      <c r="M50" s="1638">
        <f>IFERROR(VLOOKUP(Financeiros[[#This Row],[Grupo Tarifário]],RefTabGrupoTarifa[],4,FALSE),0)</f>
        <v>9</v>
      </c>
    </row>
    <row r="51" spans="3:13" ht="16.5" hidden="1">
      <c r="C51" s="1659" t="s">
        <v>2105</v>
      </c>
      <c r="D51" s="1756">
        <f>CVE!$D$11</f>
        <v>0</v>
      </c>
      <c r="E51" s="1621">
        <f t="shared" ca="1" si="0"/>
        <v>0</v>
      </c>
      <c r="F51" s="1609" t="s">
        <v>2233</v>
      </c>
      <c r="G51" s="1626" t="s">
        <v>2246</v>
      </c>
      <c r="H51" s="1610">
        <f>IFERROR(VLOOKUP(Financeiros[[#This Row],[Tipo]],RefTabTipo[],2,FALSE),0)</f>
        <v>22</v>
      </c>
      <c r="I51" s="1632">
        <f>IFERROR(VLOOKUP(Financeiros[[#This Row],[Tipo]],RefTabTipo[],3,FALSE),0)</f>
        <v>60</v>
      </c>
      <c r="J51" s="1611">
        <f>IFERROR(VLOOKUP(Financeiros[[#This Row],[Tipo]],RefTabTipo[],4,FALSE),0)</f>
        <v>241</v>
      </c>
      <c r="K51" s="1638">
        <f>IFERROR(VLOOKUP(Financeiros[[#This Row],[Grupo Tarifário]],RefTabGrupoTarifa[],2,FALSE),0)</f>
        <v>3</v>
      </c>
      <c r="L51" s="1610">
        <f>IFERROR(VLOOKUP(Financeiros[[#This Row],[Grupo Tarifário]],RefTabGrupoTarifa[],3,FALSE),0)</f>
        <v>25</v>
      </c>
      <c r="M51" s="1638">
        <f>IFERROR(VLOOKUP(Financeiros[[#This Row],[Grupo Tarifário]],RefTabGrupoTarifa[],4,FALSE),0)</f>
        <v>9</v>
      </c>
    </row>
    <row r="52" spans="3:13" ht="16.5" hidden="1">
      <c r="C52" s="1659" t="s">
        <v>2106</v>
      </c>
      <c r="D52" s="1756">
        <f>IFERROR(CVE!$D$12*Resultado!D25/SUM(Resultado!$D$25:$D$29),0)</f>
        <v>0</v>
      </c>
      <c r="E52" s="1621">
        <f t="shared" ca="1" si="0"/>
        <v>0</v>
      </c>
      <c r="F52" s="1609" t="s">
        <v>2233</v>
      </c>
      <c r="G52" s="1626" t="s">
        <v>2265</v>
      </c>
      <c r="H52" s="1610">
        <f>IFERROR(VLOOKUP(Financeiros[[#This Row],[Tipo]],RefTabTipo[],2,FALSE),0)</f>
        <v>22</v>
      </c>
      <c r="I52" s="1632">
        <f>IFERROR(VLOOKUP(Financeiros[[#This Row],[Tipo]],RefTabTipo[],3,FALSE),0)</f>
        <v>60</v>
      </c>
      <c r="J52" s="1611">
        <f>IFERROR(VLOOKUP(Financeiros[[#This Row],[Tipo]],RefTabTipo[],4,FALSE),0)</f>
        <v>241</v>
      </c>
      <c r="K52" s="1638">
        <f>IFERROR(VLOOKUP(Financeiros[[#This Row],[Grupo Tarifário]],RefTabGrupoTarifa[],2,FALSE),0)</f>
        <v>1</v>
      </c>
      <c r="L52" s="1610">
        <f>IFERROR(VLOOKUP(Financeiros[[#This Row],[Grupo Tarifário]],RefTabGrupoTarifa[],3,FALSE),0)</f>
        <v>1</v>
      </c>
      <c r="M52" s="1638">
        <f>IFERROR(VLOOKUP(Financeiros[[#This Row],[Grupo Tarifário]],RefTabGrupoTarifa[],4,FALSE),0)</f>
        <v>9</v>
      </c>
    </row>
    <row r="53" spans="3:13" ht="16.5" hidden="1">
      <c r="C53" s="1659" t="s">
        <v>2107</v>
      </c>
      <c r="D53" s="1756">
        <f>IFERROR(CVE!$D$12*Resultado!D26/SUM(Resultado!$D$25:$D$29),0)</f>
        <v>0</v>
      </c>
      <c r="E53" s="1621">
        <f t="shared" ca="1" si="0"/>
        <v>0</v>
      </c>
      <c r="F53" s="1609" t="s">
        <v>2233</v>
      </c>
      <c r="G53" s="1626" t="s">
        <v>2265</v>
      </c>
      <c r="H53" s="1610">
        <f>IFERROR(VLOOKUP(Financeiros[[#This Row],[Tipo]],RefTabTipo[],2,FALSE),0)</f>
        <v>22</v>
      </c>
      <c r="I53" s="1632">
        <f>IFERROR(VLOOKUP(Financeiros[[#This Row],[Tipo]],RefTabTipo[],3,FALSE),0)</f>
        <v>60</v>
      </c>
      <c r="J53" s="1611">
        <f>IFERROR(VLOOKUP(Financeiros[[#This Row],[Tipo]],RefTabTipo[],4,FALSE),0)</f>
        <v>241</v>
      </c>
      <c r="K53" s="1638">
        <f>IFERROR(VLOOKUP(Financeiros[[#This Row],[Grupo Tarifário]],RefTabGrupoTarifa[],2,FALSE),0)</f>
        <v>1</v>
      </c>
      <c r="L53" s="1610">
        <f>IFERROR(VLOOKUP(Financeiros[[#This Row],[Grupo Tarifário]],RefTabGrupoTarifa[],3,FALSE),0)</f>
        <v>1</v>
      </c>
      <c r="M53" s="1638">
        <f>IFERROR(VLOOKUP(Financeiros[[#This Row],[Grupo Tarifário]],RefTabGrupoTarifa[],4,FALSE),0)</f>
        <v>9</v>
      </c>
    </row>
    <row r="54" spans="3:13" ht="16.5" hidden="1">
      <c r="C54" s="1659" t="s">
        <v>2108</v>
      </c>
      <c r="D54" s="1756">
        <f>IFERROR(CVE!$D$12*Resultado!D28/SUM(Resultado!$D$25:$D$29),0)</f>
        <v>0</v>
      </c>
      <c r="E54" s="1621">
        <f t="shared" ca="1" si="0"/>
        <v>0</v>
      </c>
      <c r="F54" s="1609" t="s">
        <v>2233</v>
      </c>
      <c r="G54" s="1626" t="s">
        <v>2265</v>
      </c>
      <c r="H54" s="1610">
        <f>IFERROR(VLOOKUP(Financeiros[[#This Row],[Tipo]],RefTabTipo[],2,FALSE),0)</f>
        <v>22</v>
      </c>
      <c r="I54" s="1632">
        <f>IFERROR(VLOOKUP(Financeiros[[#This Row],[Tipo]],RefTabTipo[],3,FALSE),0)</f>
        <v>60</v>
      </c>
      <c r="J54" s="1611">
        <f>IFERROR(VLOOKUP(Financeiros[[#This Row],[Tipo]],RefTabTipo[],4,FALSE),0)</f>
        <v>241</v>
      </c>
      <c r="K54" s="1638">
        <f>IFERROR(VLOOKUP(Financeiros[[#This Row],[Grupo Tarifário]],RefTabGrupoTarifa[],2,FALSE),0)</f>
        <v>1</v>
      </c>
      <c r="L54" s="1610">
        <f>IFERROR(VLOOKUP(Financeiros[[#This Row],[Grupo Tarifário]],RefTabGrupoTarifa[],3,FALSE),0)</f>
        <v>1</v>
      </c>
      <c r="M54" s="1638">
        <f>IFERROR(VLOOKUP(Financeiros[[#This Row],[Grupo Tarifário]],RefTabGrupoTarifa[],4,FALSE),0)</f>
        <v>9</v>
      </c>
    </row>
    <row r="55" spans="3:13" ht="16.5" hidden="1">
      <c r="C55" s="1659" t="s">
        <v>2109</v>
      </c>
      <c r="D55" s="1756">
        <f>IFERROR(CVE!$D$12*Resultado!D27/SUM(Resultado!$D$25:$D$29),0)</f>
        <v>0</v>
      </c>
      <c r="E55" s="1621">
        <f t="shared" ca="1" si="0"/>
        <v>0</v>
      </c>
      <c r="F55" s="1609" t="s">
        <v>2233</v>
      </c>
      <c r="G55" s="1626" t="s">
        <v>2265</v>
      </c>
      <c r="H55" s="1610">
        <f>IFERROR(VLOOKUP(Financeiros[[#This Row],[Tipo]],RefTabTipo[],2,FALSE),0)</f>
        <v>22</v>
      </c>
      <c r="I55" s="1632">
        <f>IFERROR(VLOOKUP(Financeiros[[#This Row],[Tipo]],RefTabTipo[],3,FALSE),0)</f>
        <v>60</v>
      </c>
      <c r="J55" s="1611">
        <f>IFERROR(VLOOKUP(Financeiros[[#This Row],[Tipo]],RefTabTipo[],4,FALSE),0)</f>
        <v>241</v>
      </c>
      <c r="K55" s="1638">
        <f>IFERROR(VLOOKUP(Financeiros[[#This Row],[Grupo Tarifário]],RefTabGrupoTarifa[],2,FALSE),0)</f>
        <v>1</v>
      </c>
      <c r="L55" s="1610">
        <f>IFERROR(VLOOKUP(Financeiros[[#This Row],[Grupo Tarifário]],RefTabGrupoTarifa[],3,FALSE),0)</f>
        <v>1</v>
      </c>
      <c r="M55" s="1638">
        <f>IFERROR(VLOOKUP(Financeiros[[#This Row],[Grupo Tarifário]],RefTabGrupoTarifa[],4,FALSE),0)</f>
        <v>9</v>
      </c>
    </row>
    <row r="56" spans="3:13" ht="16.5" hidden="1">
      <c r="C56" s="1659" t="s">
        <v>2110</v>
      </c>
      <c r="D56" s="1756">
        <f>IFERROR(CVE!$D$12*Resultado!D29/SUM(Resultado!$D$25:$D$29),0)</f>
        <v>0</v>
      </c>
      <c r="E56" s="1621">
        <f t="shared" ca="1" si="0"/>
        <v>0</v>
      </c>
      <c r="F56" s="1609" t="s">
        <v>2233</v>
      </c>
      <c r="G56" s="1626" t="s">
        <v>2265</v>
      </c>
      <c r="H56" s="1610">
        <f>IFERROR(VLOOKUP(Financeiros[[#This Row],[Tipo]],RefTabTipo[],2,FALSE),0)</f>
        <v>22</v>
      </c>
      <c r="I56" s="1632">
        <f>IFERROR(VLOOKUP(Financeiros[[#This Row],[Tipo]],RefTabTipo[],3,FALSE),0)</f>
        <v>60</v>
      </c>
      <c r="J56" s="1611">
        <f>IFERROR(VLOOKUP(Financeiros[[#This Row],[Tipo]],RefTabTipo[],4,FALSE),0)</f>
        <v>241</v>
      </c>
      <c r="K56" s="1638">
        <f>IFERROR(VLOOKUP(Financeiros[[#This Row],[Grupo Tarifário]],RefTabGrupoTarifa[],2,FALSE),0)</f>
        <v>1</v>
      </c>
      <c r="L56" s="1610">
        <f>IFERROR(VLOOKUP(Financeiros[[#This Row],[Grupo Tarifário]],RefTabGrupoTarifa[],3,FALSE),0)</f>
        <v>1</v>
      </c>
      <c r="M56" s="1638">
        <f>IFERROR(VLOOKUP(Financeiros[[#This Row],[Grupo Tarifário]],RefTabGrupoTarifa[],4,FALSE),0)</f>
        <v>9</v>
      </c>
    </row>
    <row r="57" spans="3:13" ht="16.5" hidden="1">
      <c r="C57" s="1659" t="s">
        <v>2111</v>
      </c>
      <c r="D57" s="1756">
        <f>CVE!D15</f>
        <v>0</v>
      </c>
      <c r="E57" s="1621">
        <f t="shared" ca="1" si="0"/>
        <v>0</v>
      </c>
      <c r="F57" s="1609" t="s">
        <v>2233</v>
      </c>
      <c r="G57" s="1626" t="s">
        <v>2273</v>
      </c>
      <c r="H57" s="1610">
        <f>IFERROR(VLOOKUP(Financeiros[[#This Row],[Tipo]],RefTabTipo[],2,FALSE),0)</f>
        <v>22</v>
      </c>
      <c r="I57" s="1632">
        <f>IFERROR(VLOOKUP(Financeiros[[#This Row],[Tipo]],RefTabTipo[],3,FALSE),0)</f>
        <v>60</v>
      </c>
      <c r="J57" s="1611">
        <f>IFERROR(VLOOKUP(Financeiros[[#This Row],[Tipo]],RefTabTipo[],4,FALSE),0)</f>
        <v>241</v>
      </c>
      <c r="K57" s="1638">
        <f>IFERROR(VLOOKUP(Financeiros[[#This Row],[Grupo Tarifário]],RefTabGrupoTarifa[],2,FALSE),0)</f>
        <v>1</v>
      </c>
      <c r="L57" s="1610">
        <f>IFERROR(VLOOKUP(Financeiros[[#This Row],[Grupo Tarifário]],RefTabGrupoTarifa[],3,FALSE),0)</f>
        <v>21</v>
      </c>
      <c r="M57" s="1638">
        <f>IFERROR(VLOOKUP(Financeiros[[#This Row],[Grupo Tarifário]],RefTabGrupoTarifa[],4,FALSE),0)</f>
        <v>9</v>
      </c>
    </row>
    <row r="58" spans="3:13" ht="16.5">
      <c r="C58" s="1659" t="s">
        <v>2112</v>
      </c>
      <c r="D58" s="1756">
        <f ca="1">IFERROR(CVE!$D$13*H2,0)</f>
        <v>-10811.28297594013</v>
      </c>
      <c r="E58" s="1621">
        <f t="shared" ca="1" si="0"/>
        <v>-4.8619703166136017E-4</v>
      </c>
      <c r="F58" s="1609" t="s">
        <v>2233</v>
      </c>
      <c r="G58" s="1626" t="s">
        <v>2257</v>
      </c>
      <c r="H58" s="1610">
        <f>IFERROR(VLOOKUP(Financeiros[[#This Row],[Tipo]],RefTabTipo[],2,FALSE),0)</f>
        <v>22</v>
      </c>
      <c r="I58" s="1632">
        <f>IFERROR(VLOOKUP(Financeiros[[#This Row],[Tipo]],RefTabTipo[],3,FALSE),0)</f>
        <v>60</v>
      </c>
      <c r="J58" s="1611">
        <f>IFERROR(VLOOKUP(Financeiros[[#This Row],[Tipo]],RefTabTipo[],4,FALSE),0)</f>
        <v>241</v>
      </c>
      <c r="K58" s="1638">
        <f>IFERROR(VLOOKUP(Financeiros[[#This Row],[Grupo Tarifário]],RefTabGrupoTarifa[],2,FALSE),0)</f>
        <v>2</v>
      </c>
      <c r="L58" s="1610">
        <f>IFERROR(VLOOKUP(Financeiros[[#This Row],[Grupo Tarifário]],RefTabGrupoTarifa[],3,FALSE),0)</f>
        <v>11</v>
      </c>
      <c r="M58" s="1638">
        <f>IFERROR(VLOOKUP(Financeiros[[#This Row],[Grupo Tarifário]],RefTabGrupoTarifa[],4,FALSE),0)</f>
        <v>9</v>
      </c>
    </row>
    <row r="59" spans="3:13" ht="16.5" hidden="1">
      <c r="C59" s="1659" t="s">
        <v>2113</v>
      </c>
      <c r="D59" s="1756">
        <f ca="1">IFERROR(CVE!$D$13*H3,0)</f>
        <v>0</v>
      </c>
      <c r="E59" s="1621">
        <f t="shared" ca="1" si="0"/>
        <v>0</v>
      </c>
      <c r="F59" s="1609" t="s">
        <v>2233</v>
      </c>
      <c r="G59" s="1626" t="s">
        <v>2259</v>
      </c>
      <c r="H59" s="1610">
        <f>IFERROR(VLOOKUP(Financeiros[[#This Row],[Tipo]],RefTabTipo[],2,FALSE),0)</f>
        <v>22</v>
      </c>
      <c r="I59" s="1632">
        <f>IFERROR(VLOOKUP(Financeiros[[#This Row],[Tipo]],RefTabTipo[],3,FALSE),0)</f>
        <v>60</v>
      </c>
      <c r="J59" s="1611">
        <f>IFERROR(VLOOKUP(Financeiros[[#This Row],[Tipo]],RefTabTipo[],4,FALSE),0)</f>
        <v>241</v>
      </c>
      <c r="K59" s="1638">
        <f>IFERROR(VLOOKUP(Financeiros[[#This Row],[Grupo Tarifário]],RefTabGrupoTarifa[],2,FALSE),0)</f>
        <v>2</v>
      </c>
      <c r="L59" s="1610">
        <f>IFERROR(VLOOKUP(Financeiros[[#This Row],[Grupo Tarifário]],RefTabGrupoTarifa[],3,FALSE),0)</f>
        <v>9</v>
      </c>
      <c r="M59" s="1638">
        <f>IFERROR(VLOOKUP(Financeiros[[#This Row],[Grupo Tarifário]],RefTabGrupoTarifa[],4,FALSE),0)</f>
        <v>9</v>
      </c>
    </row>
    <row r="60" spans="3:13" ht="16.5">
      <c r="C60" s="1659" t="s">
        <v>2114</v>
      </c>
      <c r="D60" s="1756">
        <f ca="1">IFERROR(CVE!$D$13*H4,0)</f>
        <v>-74.349425795082865</v>
      </c>
      <c r="E60" s="1621">
        <f t="shared" ca="1" si="0"/>
        <v>-3.3435874546750959E-6</v>
      </c>
      <c r="F60" s="1609" t="s">
        <v>2233</v>
      </c>
      <c r="G60" s="1626" t="s">
        <v>2262</v>
      </c>
      <c r="H60" s="1610">
        <f>IFERROR(VLOOKUP(Financeiros[[#This Row],[Tipo]],RefTabTipo[],2,FALSE),0)</f>
        <v>22</v>
      </c>
      <c r="I60" s="1632">
        <f>IFERROR(VLOOKUP(Financeiros[[#This Row],[Tipo]],RefTabTipo[],3,FALSE),0)</f>
        <v>60</v>
      </c>
      <c r="J60" s="1611">
        <f>IFERROR(VLOOKUP(Financeiros[[#This Row],[Tipo]],RefTabTipo[],4,FALSE),0)</f>
        <v>241</v>
      </c>
      <c r="K60" s="1638">
        <f>IFERROR(VLOOKUP(Financeiros[[#This Row],[Grupo Tarifário]],RefTabGrupoTarifa[],2,FALSE),0)</f>
        <v>2</v>
      </c>
      <c r="L60" s="1610">
        <f>IFERROR(VLOOKUP(Financeiros[[#This Row],[Grupo Tarifário]],RefTabGrupoTarifa[],3,FALSE),0)</f>
        <v>8</v>
      </c>
      <c r="M60" s="1638">
        <f>IFERROR(VLOOKUP(Financeiros[[#This Row],[Grupo Tarifário]],RefTabGrupoTarifa[],4,FALSE),0)</f>
        <v>9</v>
      </c>
    </row>
    <row r="61" spans="3:13" ht="16.5">
      <c r="C61" s="1659" t="s">
        <v>2115</v>
      </c>
      <c r="D61" s="1756">
        <f ca="1">IFERROR(CVE!$D$13*H5,0)</f>
        <v>-3.0046289502214942</v>
      </c>
      <c r="E61" s="1621">
        <f t="shared" ca="1" si="0"/>
        <v>-1.3512195361942667E-7</v>
      </c>
      <c r="F61" s="1609" t="s">
        <v>2233</v>
      </c>
      <c r="G61" s="1626" t="s">
        <v>2260</v>
      </c>
      <c r="H61" s="1610">
        <f>IFERROR(VLOOKUP(Financeiros[[#This Row],[Tipo]],RefTabTipo[],2,FALSE),0)</f>
        <v>22</v>
      </c>
      <c r="I61" s="1632">
        <f>IFERROR(VLOOKUP(Financeiros[[#This Row],[Tipo]],RefTabTipo[],3,FALSE),0)</f>
        <v>60</v>
      </c>
      <c r="J61" s="1611">
        <f>IFERROR(VLOOKUP(Financeiros[[#This Row],[Tipo]],RefTabTipo[],4,FALSE),0)</f>
        <v>241</v>
      </c>
      <c r="K61" s="1638">
        <f>IFERROR(VLOOKUP(Financeiros[[#This Row],[Grupo Tarifário]],RefTabGrupoTarifa[],2,FALSE),0)</f>
        <v>2</v>
      </c>
      <c r="L61" s="1610">
        <f>IFERROR(VLOOKUP(Financeiros[[#This Row],[Grupo Tarifário]],RefTabGrupoTarifa[],3,FALSE),0)</f>
        <v>10</v>
      </c>
      <c r="M61" s="1638">
        <f>IFERROR(VLOOKUP(Financeiros[[#This Row],[Grupo Tarifário]],RefTabGrupoTarifa[],4,FALSE),0)</f>
        <v>9</v>
      </c>
    </row>
    <row r="62" spans="3:13" ht="16.5">
      <c r="C62" s="1659" t="s">
        <v>2116</v>
      </c>
      <c r="D62" s="1756">
        <f ca="1">IFERROR(CVE!$D$13*H6,0)</f>
        <v>-436.90846931456531</v>
      </c>
      <c r="E62" s="1621">
        <f t="shared" ca="1" si="0"/>
        <v>-1.9648324936197329E-5</v>
      </c>
      <c r="F62" s="1609" t="s">
        <v>2233</v>
      </c>
      <c r="G62" s="1626" t="s">
        <v>2261</v>
      </c>
      <c r="H62" s="1610">
        <f>IFERROR(VLOOKUP(Financeiros[[#This Row],[Tipo]],RefTabTipo[],2,FALSE),0)</f>
        <v>22</v>
      </c>
      <c r="I62" s="1632">
        <f>IFERROR(VLOOKUP(Financeiros[[#This Row],[Tipo]],RefTabTipo[],3,FALSE),0)</f>
        <v>60</v>
      </c>
      <c r="J62" s="1611">
        <f>IFERROR(VLOOKUP(Financeiros[[#This Row],[Tipo]],RefTabTipo[],4,FALSE),0)</f>
        <v>241</v>
      </c>
      <c r="K62" s="1638">
        <f>IFERROR(VLOOKUP(Financeiros[[#This Row],[Grupo Tarifário]],RefTabGrupoTarifa[],2,FALSE),0)</f>
        <v>2</v>
      </c>
      <c r="L62" s="1610">
        <f>IFERROR(VLOOKUP(Financeiros[[#This Row],[Grupo Tarifário]],RefTabGrupoTarifa[],3,FALSE),0)</f>
        <v>24</v>
      </c>
      <c r="M62" s="1638">
        <f>IFERROR(VLOOKUP(Financeiros[[#This Row],[Grupo Tarifário]],RefTabGrupoTarifa[],4,FALSE),0)</f>
        <v>9</v>
      </c>
    </row>
    <row r="63" spans="3:13" ht="16.5" hidden="1">
      <c r="C63" s="1659" t="s">
        <v>2117</v>
      </c>
      <c r="D63" s="1756">
        <f>IFERROR(CVE!$D$16,0)</f>
        <v>0</v>
      </c>
      <c r="E63" s="1621">
        <f t="shared" ca="1" si="0"/>
        <v>0</v>
      </c>
      <c r="F63" s="1609" t="s">
        <v>2233</v>
      </c>
      <c r="G63" s="1626" t="s">
        <v>2254</v>
      </c>
      <c r="H63" s="1610">
        <f>IFERROR(VLOOKUP(Financeiros[[#This Row],[Tipo]],RefTabTipo[],2,FALSE),0)</f>
        <v>22</v>
      </c>
      <c r="I63" s="1632">
        <f>IFERROR(VLOOKUP(Financeiros[[#This Row],[Tipo]],RefTabTipo[],3,FALSE),0)</f>
        <v>60</v>
      </c>
      <c r="J63" s="1611">
        <f>IFERROR(VLOOKUP(Financeiros[[#This Row],[Tipo]],RefTabTipo[],4,FALSE),0)</f>
        <v>241</v>
      </c>
      <c r="K63" s="1638">
        <f>IFERROR(VLOOKUP(Financeiros[[#This Row],[Grupo Tarifário]],RefTabGrupoTarifa[],2,FALSE),0)</f>
        <v>3</v>
      </c>
      <c r="L63" s="1610">
        <f>IFERROR(VLOOKUP(Financeiros[[#This Row],[Grupo Tarifário]],RefTabGrupoTarifa[],3,FALSE),0)</f>
        <v>18</v>
      </c>
      <c r="M63" s="1638">
        <f>IFERROR(VLOOKUP(Financeiros[[#This Row],[Grupo Tarifário]],RefTabGrupoTarifa[],4,FALSE),0)</f>
        <v>9</v>
      </c>
    </row>
    <row r="64" spans="3:13" ht="16.5" hidden="1">
      <c r="C64" s="1659" t="s">
        <v>2118</v>
      </c>
      <c r="D64" s="1756">
        <f>CVE!D14</f>
        <v>0</v>
      </c>
      <c r="E64" s="1621">
        <f t="shared" ca="1" si="0"/>
        <v>0</v>
      </c>
      <c r="F64" s="1609" t="s">
        <v>2233</v>
      </c>
      <c r="G64" s="1626" t="s">
        <v>2251</v>
      </c>
      <c r="H64" s="1610">
        <f>IFERROR(VLOOKUP(Financeiros[[#This Row],[Tipo]],RefTabTipo[],2,FALSE),0)</f>
        <v>22</v>
      </c>
      <c r="I64" s="1632">
        <f>IFERROR(VLOOKUP(Financeiros[[#This Row],[Tipo]],RefTabTipo[],3,FALSE),0)</f>
        <v>60</v>
      </c>
      <c r="J64" s="1611">
        <f>IFERROR(VLOOKUP(Financeiros[[#This Row],[Tipo]],RefTabTipo[],4,FALSE),0)</f>
        <v>241</v>
      </c>
      <c r="K64" s="1638">
        <f>IFERROR(VLOOKUP(Financeiros[[#This Row],[Grupo Tarifário]],RefTabGrupoTarifa[],2,FALSE),0)</f>
        <v>3</v>
      </c>
      <c r="L64" s="1610">
        <f>IFERROR(VLOOKUP(Financeiros[[#This Row],[Grupo Tarifário]],RefTabGrupoTarifa[],3,FALSE),0)</f>
        <v>16</v>
      </c>
      <c r="M64" s="1638">
        <f>IFERROR(VLOOKUP(Financeiros[[#This Row],[Grupo Tarifário]],RefTabGrupoTarifa[],4,FALSE),0)</f>
        <v>9</v>
      </c>
    </row>
    <row r="65" spans="3:13" ht="16.5">
      <c r="C65" s="1659" t="s">
        <v>2119</v>
      </c>
      <c r="D65" s="1756">
        <f>CVE!D17</f>
        <v>152472.49830000001</v>
      </c>
      <c r="E65" s="1621">
        <f t="shared" ca="1" si="0"/>
        <v>6.8568805615788105E-3</v>
      </c>
      <c r="F65" s="1609" t="s">
        <v>2233</v>
      </c>
      <c r="G65" s="1626" t="s">
        <v>2244</v>
      </c>
      <c r="H65" s="1610">
        <f>IFERROR(VLOOKUP(Financeiros[[#This Row],[Tipo]],RefTabTipo[],2,FALSE),0)</f>
        <v>22</v>
      </c>
      <c r="I65" s="1632">
        <f>IFERROR(VLOOKUP(Financeiros[[#This Row],[Tipo]],RefTabTipo[],3,FALSE),0)</f>
        <v>60</v>
      </c>
      <c r="J65" s="1611">
        <f>IFERROR(VLOOKUP(Financeiros[[#This Row],[Tipo]],RefTabTipo[],4,FALSE),0)</f>
        <v>241</v>
      </c>
      <c r="K65" s="1638">
        <f>IFERROR(VLOOKUP(Financeiros[[#This Row],[Grupo Tarifário]],RefTabGrupoTarifa[],2,FALSE),0)</f>
        <v>3</v>
      </c>
      <c r="L65" s="1610">
        <f>IFERROR(VLOOKUP(Financeiros[[#This Row],[Grupo Tarifário]],RefTabGrupoTarifa[],3,FALSE),0)</f>
        <v>17</v>
      </c>
      <c r="M65" s="1638">
        <f>IFERROR(VLOOKUP(Financeiros[[#This Row],[Grupo Tarifário]],RefTabGrupoTarifa[],4,FALSE),0)</f>
        <v>9</v>
      </c>
    </row>
    <row r="66" spans="3:13" ht="16.5" hidden="1">
      <c r="C66" s="1660" t="s">
        <v>2091</v>
      </c>
      <c r="D66" s="1757">
        <f ca="1">IFERROR('Financeiros Mitigação'!$D$5*H2,0)</f>
        <v>0</v>
      </c>
      <c r="E66" s="1622">
        <f t="shared" ca="1" si="0"/>
        <v>0</v>
      </c>
      <c r="F66" s="1606" t="s">
        <v>2235</v>
      </c>
      <c r="G66" s="1627" t="s">
        <v>2257</v>
      </c>
      <c r="H66" s="1607">
        <f>IFERROR(VLOOKUP(Financeiros[[#This Row],[Tipo]],RefTabTipo[],2,FALSE),0)</f>
        <v>22</v>
      </c>
      <c r="I66" s="1633">
        <f>IFERROR(VLOOKUP(Financeiros[[#This Row],[Tipo]],RefTabTipo[],3,FALSE),0)</f>
        <v>60</v>
      </c>
      <c r="J66" s="1608">
        <f>IFERROR(VLOOKUP(Financeiros[[#This Row],[Tipo]],RefTabTipo[],4,FALSE),0)</f>
        <v>240</v>
      </c>
      <c r="K66" s="1639">
        <f>IFERROR(VLOOKUP(Financeiros[[#This Row],[Grupo Tarifário]],RefTabGrupoTarifa[],2,FALSE),0)</f>
        <v>2</v>
      </c>
      <c r="L66" s="1607">
        <f>IFERROR(VLOOKUP(Financeiros[[#This Row],[Grupo Tarifário]],RefTabGrupoTarifa[],3,FALSE),0)</f>
        <v>11</v>
      </c>
      <c r="M66" s="1639">
        <f>IFERROR(VLOOKUP(Financeiros[[#This Row],[Grupo Tarifário]],RefTabGrupoTarifa[],4,FALSE),0)</f>
        <v>9</v>
      </c>
    </row>
    <row r="67" spans="3:13" ht="16.5" hidden="1">
      <c r="C67" s="1660" t="s">
        <v>2092</v>
      </c>
      <c r="D67" s="1757">
        <f ca="1">IFERROR('Financeiros Mitigação'!$D$5*H3,0)</f>
        <v>0</v>
      </c>
      <c r="E67" s="1622">
        <f t="shared" ca="1" si="0"/>
        <v>0</v>
      </c>
      <c r="F67" s="1606" t="s">
        <v>2235</v>
      </c>
      <c r="G67" s="1627" t="s">
        <v>2259</v>
      </c>
      <c r="H67" s="1607">
        <f>IFERROR(VLOOKUP(Financeiros[[#This Row],[Tipo]],RefTabTipo[],2,FALSE),0)</f>
        <v>22</v>
      </c>
      <c r="I67" s="1633">
        <f>IFERROR(VLOOKUP(Financeiros[[#This Row],[Tipo]],RefTabTipo[],3,FALSE),0)</f>
        <v>60</v>
      </c>
      <c r="J67" s="1608">
        <f>IFERROR(VLOOKUP(Financeiros[[#This Row],[Tipo]],RefTabTipo[],4,FALSE),0)</f>
        <v>240</v>
      </c>
      <c r="K67" s="1639">
        <f>IFERROR(VLOOKUP(Financeiros[[#This Row],[Grupo Tarifário]],RefTabGrupoTarifa[],2,FALSE),0)</f>
        <v>2</v>
      </c>
      <c r="L67" s="1607">
        <f>IFERROR(VLOOKUP(Financeiros[[#This Row],[Grupo Tarifário]],RefTabGrupoTarifa[],3,FALSE),0)</f>
        <v>9</v>
      </c>
      <c r="M67" s="1639">
        <f>IFERROR(VLOOKUP(Financeiros[[#This Row],[Grupo Tarifário]],RefTabGrupoTarifa[],4,FALSE),0)</f>
        <v>9</v>
      </c>
    </row>
    <row r="68" spans="3:13" ht="16.5" hidden="1">
      <c r="C68" s="1660" t="s">
        <v>2093</v>
      </c>
      <c r="D68" s="1757">
        <f ca="1">IFERROR('Financeiros Mitigação'!$D$5*H4,0)</f>
        <v>0</v>
      </c>
      <c r="E68" s="1622">
        <f t="shared" ca="1" si="0"/>
        <v>0</v>
      </c>
      <c r="F68" s="1606" t="s">
        <v>2235</v>
      </c>
      <c r="G68" s="1627" t="s">
        <v>2262</v>
      </c>
      <c r="H68" s="1607">
        <f>IFERROR(VLOOKUP(Financeiros[[#This Row],[Tipo]],RefTabTipo[],2,FALSE),0)</f>
        <v>22</v>
      </c>
      <c r="I68" s="1633">
        <f>IFERROR(VLOOKUP(Financeiros[[#This Row],[Tipo]],RefTabTipo[],3,FALSE),0)</f>
        <v>60</v>
      </c>
      <c r="J68" s="1608">
        <f>IFERROR(VLOOKUP(Financeiros[[#This Row],[Tipo]],RefTabTipo[],4,FALSE),0)</f>
        <v>240</v>
      </c>
      <c r="K68" s="1639">
        <f>IFERROR(VLOOKUP(Financeiros[[#This Row],[Grupo Tarifário]],RefTabGrupoTarifa[],2,FALSE),0)</f>
        <v>2</v>
      </c>
      <c r="L68" s="1607">
        <f>IFERROR(VLOOKUP(Financeiros[[#This Row],[Grupo Tarifário]],RefTabGrupoTarifa[],3,FALSE),0)</f>
        <v>8</v>
      </c>
      <c r="M68" s="1639">
        <f>IFERROR(VLOOKUP(Financeiros[[#This Row],[Grupo Tarifário]],RefTabGrupoTarifa[],4,FALSE),0)</f>
        <v>9</v>
      </c>
    </row>
    <row r="69" spans="3:13" ht="16.5" hidden="1">
      <c r="C69" s="1660" t="s">
        <v>2094</v>
      </c>
      <c r="D69" s="1757">
        <f ca="1">IFERROR('Financeiros Mitigação'!$D$5*H5,0)</f>
        <v>0</v>
      </c>
      <c r="E69" s="1622">
        <f t="shared" ca="1" si="0"/>
        <v>0</v>
      </c>
      <c r="F69" s="1606" t="s">
        <v>2235</v>
      </c>
      <c r="G69" s="1627" t="s">
        <v>2260</v>
      </c>
      <c r="H69" s="1607">
        <f>IFERROR(VLOOKUP(Financeiros[[#This Row],[Tipo]],RefTabTipo[],2,FALSE),0)</f>
        <v>22</v>
      </c>
      <c r="I69" s="1633">
        <f>IFERROR(VLOOKUP(Financeiros[[#This Row],[Tipo]],RefTabTipo[],3,FALSE),0)</f>
        <v>60</v>
      </c>
      <c r="J69" s="1608">
        <f>IFERROR(VLOOKUP(Financeiros[[#This Row],[Tipo]],RefTabTipo[],4,FALSE),0)</f>
        <v>240</v>
      </c>
      <c r="K69" s="1639">
        <f>IFERROR(VLOOKUP(Financeiros[[#This Row],[Grupo Tarifário]],RefTabGrupoTarifa[],2,FALSE),0)</f>
        <v>2</v>
      </c>
      <c r="L69" s="1607">
        <f>IFERROR(VLOOKUP(Financeiros[[#This Row],[Grupo Tarifário]],RefTabGrupoTarifa[],3,FALSE),0)</f>
        <v>10</v>
      </c>
      <c r="M69" s="1639">
        <f>IFERROR(VLOOKUP(Financeiros[[#This Row],[Grupo Tarifário]],RefTabGrupoTarifa[],4,FALSE),0)</f>
        <v>9</v>
      </c>
    </row>
    <row r="70" spans="3:13" ht="16.5" hidden="1">
      <c r="C70" s="1660" t="s">
        <v>2095</v>
      </c>
      <c r="D70" s="1757">
        <f ca="1">IFERROR('Financeiros Mitigação'!$D$5*H6,0)</f>
        <v>0</v>
      </c>
      <c r="E70" s="1622">
        <f t="shared" ca="1" si="0"/>
        <v>0</v>
      </c>
      <c r="F70" s="1606" t="s">
        <v>2235</v>
      </c>
      <c r="G70" s="1627" t="s">
        <v>2261</v>
      </c>
      <c r="H70" s="1607">
        <f>IFERROR(VLOOKUP(Financeiros[[#This Row],[Tipo]],RefTabTipo[],2,FALSE),0)</f>
        <v>22</v>
      </c>
      <c r="I70" s="1633">
        <f>IFERROR(VLOOKUP(Financeiros[[#This Row],[Tipo]],RefTabTipo[],3,FALSE),0)</f>
        <v>60</v>
      </c>
      <c r="J70" s="1608">
        <f>IFERROR(VLOOKUP(Financeiros[[#This Row],[Tipo]],RefTabTipo[],4,FALSE),0)</f>
        <v>240</v>
      </c>
      <c r="K70" s="1639">
        <f>IFERROR(VLOOKUP(Financeiros[[#This Row],[Grupo Tarifário]],RefTabGrupoTarifa[],2,FALSE),0)</f>
        <v>2</v>
      </c>
      <c r="L70" s="1607">
        <f>IFERROR(VLOOKUP(Financeiros[[#This Row],[Grupo Tarifário]],RefTabGrupoTarifa[],3,FALSE),0)</f>
        <v>24</v>
      </c>
      <c r="M70" s="1639">
        <f>IFERROR(VLOOKUP(Financeiros[[#This Row],[Grupo Tarifário]],RefTabGrupoTarifa[],4,FALSE),0)</f>
        <v>9</v>
      </c>
    </row>
    <row r="71" spans="3:13" ht="16.5" hidden="1">
      <c r="C71" s="1660" t="s">
        <v>2096</v>
      </c>
      <c r="D71" s="1757">
        <f>IFERROR('Financeiros Mitigação'!D6,0)</f>
        <v>0</v>
      </c>
      <c r="E71" s="1622">
        <f t="shared" ca="1" si="0"/>
        <v>0</v>
      </c>
      <c r="F71" s="1606" t="s">
        <v>2235</v>
      </c>
      <c r="G71" s="1627" t="s">
        <v>2244</v>
      </c>
      <c r="H71" s="1607">
        <f>IFERROR(VLOOKUP(Financeiros[[#This Row],[Tipo]],RefTabTipo[],2,FALSE),0)</f>
        <v>22</v>
      </c>
      <c r="I71" s="1633">
        <f>IFERROR(VLOOKUP(Financeiros[[#This Row],[Tipo]],RefTabTipo[],3,FALSE),0)</f>
        <v>60</v>
      </c>
      <c r="J71" s="1608">
        <f>IFERROR(VLOOKUP(Financeiros[[#This Row],[Tipo]],RefTabTipo[],4,FALSE),0)</f>
        <v>240</v>
      </c>
      <c r="K71" s="1639">
        <f>IFERROR(VLOOKUP(Financeiros[[#This Row],[Grupo Tarifário]],RefTabGrupoTarifa[],2,FALSE),0)</f>
        <v>3</v>
      </c>
      <c r="L71" s="1607">
        <f>IFERROR(VLOOKUP(Financeiros[[#This Row],[Grupo Tarifário]],RefTabGrupoTarifa[],3,FALSE),0)</f>
        <v>17</v>
      </c>
      <c r="M71" s="1639">
        <f>IFERROR(VLOOKUP(Financeiros[[#This Row],[Grupo Tarifário]],RefTabGrupoTarifa[],4,FALSE),0)</f>
        <v>9</v>
      </c>
    </row>
    <row r="72" spans="3:13" ht="16.5" hidden="1">
      <c r="C72" s="1660" t="s">
        <v>2097</v>
      </c>
      <c r="D72" s="1757">
        <f ca="1">IFERROR('Financeiros Mitigação'!$D$7*H2,0)</f>
        <v>0</v>
      </c>
      <c r="E72" s="1622">
        <f t="shared" ca="1" si="0"/>
        <v>0</v>
      </c>
      <c r="F72" s="1606" t="s">
        <v>2235</v>
      </c>
      <c r="G72" s="1627" t="s">
        <v>2257</v>
      </c>
      <c r="H72" s="1607">
        <f>IFERROR(VLOOKUP(Financeiros[[#This Row],[Tipo]],RefTabTipo[],2,FALSE),0)</f>
        <v>22</v>
      </c>
      <c r="I72" s="1633">
        <f>IFERROR(VLOOKUP(Financeiros[[#This Row],[Tipo]],RefTabTipo[],3,FALSE),0)</f>
        <v>60</v>
      </c>
      <c r="J72" s="1608">
        <f>IFERROR(VLOOKUP(Financeiros[[#This Row],[Tipo]],RefTabTipo[],4,FALSE),0)</f>
        <v>240</v>
      </c>
      <c r="K72" s="1639">
        <f>IFERROR(VLOOKUP(Financeiros[[#This Row],[Grupo Tarifário]],RefTabGrupoTarifa[],2,FALSE),0)</f>
        <v>2</v>
      </c>
      <c r="L72" s="1607">
        <f>IFERROR(VLOOKUP(Financeiros[[#This Row],[Grupo Tarifário]],RefTabGrupoTarifa[],3,FALSE),0)</f>
        <v>11</v>
      </c>
      <c r="M72" s="1639">
        <f>IFERROR(VLOOKUP(Financeiros[[#This Row],[Grupo Tarifário]],RefTabGrupoTarifa[],4,FALSE),0)</f>
        <v>9</v>
      </c>
    </row>
    <row r="73" spans="3:13" ht="16.5" hidden="1">
      <c r="C73" s="1660" t="s">
        <v>2098</v>
      </c>
      <c r="D73" s="1757">
        <f ca="1">IFERROR('Financeiros Mitigação'!$D$7*H3,0)</f>
        <v>0</v>
      </c>
      <c r="E73" s="1622">
        <f t="shared" ca="1" si="0"/>
        <v>0</v>
      </c>
      <c r="F73" s="1606" t="s">
        <v>2235</v>
      </c>
      <c r="G73" s="1627" t="s">
        <v>2259</v>
      </c>
      <c r="H73" s="1607">
        <f>IFERROR(VLOOKUP(Financeiros[[#This Row],[Tipo]],RefTabTipo[],2,FALSE),0)</f>
        <v>22</v>
      </c>
      <c r="I73" s="1633">
        <f>IFERROR(VLOOKUP(Financeiros[[#This Row],[Tipo]],RefTabTipo[],3,FALSE),0)</f>
        <v>60</v>
      </c>
      <c r="J73" s="1608">
        <f>IFERROR(VLOOKUP(Financeiros[[#This Row],[Tipo]],RefTabTipo[],4,FALSE),0)</f>
        <v>240</v>
      </c>
      <c r="K73" s="1639">
        <f>IFERROR(VLOOKUP(Financeiros[[#This Row],[Grupo Tarifário]],RefTabGrupoTarifa[],2,FALSE),0)</f>
        <v>2</v>
      </c>
      <c r="L73" s="1607">
        <f>IFERROR(VLOOKUP(Financeiros[[#This Row],[Grupo Tarifário]],RefTabGrupoTarifa[],3,FALSE),0)</f>
        <v>9</v>
      </c>
      <c r="M73" s="1639">
        <f>IFERROR(VLOOKUP(Financeiros[[#This Row],[Grupo Tarifário]],RefTabGrupoTarifa[],4,FALSE),0)</f>
        <v>9</v>
      </c>
    </row>
    <row r="74" spans="3:13" ht="16.5" hidden="1">
      <c r="C74" s="1660" t="s">
        <v>2099</v>
      </c>
      <c r="D74" s="1757">
        <f ca="1">IFERROR('Financeiros Mitigação'!$D$7*H4,0)</f>
        <v>0</v>
      </c>
      <c r="E74" s="1622">
        <f t="shared" ref="E74:E100" ca="1" si="1">IF(ISERROR(D74/$D$4),0,D74/$D$4)</f>
        <v>0</v>
      </c>
      <c r="F74" s="1606" t="s">
        <v>2235</v>
      </c>
      <c r="G74" s="1627" t="s">
        <v>2262</v>
      </c>
      <c r="H74" s="1607">
        <f>IFERROR(VLOOKUP(Financeiros[[#This Row],[Tipo]],RefTabTipo[],2,FALSE),0)</f>
        <v>22</v>
      </c>
      <c r="I74" s="1633">
        <f>IFERROR(VLOOKUP(Financeiros[[#This Row],[Tipo]],RefTabTipo[],3,FALSE),0)</f>
        <v>60</v>
      </c>
      <c r="J74" s="1608">
        <f>IFERROR(VLOOKUP(Financeiros[[#This Row],[Tipo]],RefTabTipo[],4,FALSE),0)</f>
        <v>240</v>
      </c>
      <c r="K74" s="1639">
        <f>IFERROR(VLOOKUP(Financeiros[[#This Row],[Grupo Tarifário]],RefTabGrupoTarifa[],2,FALSE),0)</f>
        <v>2</v>
      </c>
      <c r="L74" s="1607">
        <f>IFERROR(VLOOKUP(Financeiros[[#This Row],[Grupo Tarifário]],RefTabGrupoTarifa[],3,FALSE),0)</f>
        <v>8</v>
      </c>
      <c r="M74" s="1639">
        <f>IFERROR(VLOOKUP(Financeiros[[#This Row],[Grupo Tarifário]],RefTabGrupoTarifa[],4,FALSE),0)</f>
        <v>9</v>
      </c>
    </row>
    <row r="75" spans="3:13" ht="16.5" hidden="1">
      <c r="C75" s="1660" t="s">
        <v>2100</v>
      </c>
      <c r="D75" s="1757">
        <f ca="1">IFERROR('Financeiros Mitigação'!$D$7*H5,0)</f>
        <v>0</v>
      </c>
      <c r="E75" s="1622">
        <f t="shared" ca="1" si="1"/>
        <v>0</v>
      </c>
      <c r="F75" s="1606" t="s">
        <v>2235</v>
      </c>
      <c r="G75" s="1627" t="s">
        <v>2260</v>
      </c>
      <c r="H75" s="1607">
        <f>IFERROR(VLOOKUP(Financeiros[[#This Row],[Tipo]],RefTabTipo[],2,FALSE),0)</f>
        <v>22</v>
      </c>
      <c r="I75" s="1633">
        <f>IFERROR(VLOOKUP(Financeiros[[#This Row],[Tipo]],RefTabTipo[],3,FALSE),0)</f>
        <v>60</v>
      </c>
      <c r="J75" s="1608">
        <f>IFERROR(VLOOKUP(Financeiros[[#This Row],[Tipo]],RefTabTipo[],4,FALSE),0)</f>
        <v>240</v>
      </c>
      <c r="K75" s="1639">
        <f>IFERROR(VLOOKUP(Financeiros[[#This Row],[Grupo Tarifário]],RefTabGrupoTarifa[],2,FALSE),0)</f>
        <v>2</v>
      </c>
      <c r="L75" s="1607">
        <f>IFERROR(VLOOKUP(Financeiros[[#This Row],[Grupo Tarifário]],RefTabGrupoTarifa[],3,FALSE),0)</f>
        <v>10</v>
      </c>
      <c r="M75" s="1639">
        <f>IFERROR(VLOOKUP(Financeiros[[#This Row],[Grupo Tarifário]],RefTabGrupoTarifa[],4,FALSE),0)</f>
        <v>9</v>
      </c>
    </row>
    <row r="76" spans="3:13" ht="16.5" hidden="1">
      <c r="C76" s="1660" t="s">
        <v>2101</v>
      </c>
      <c r="D76" s="1757">
        <f ca="1">IFERROR('Financeiros Mitigação'!$D$7*H6,0)</f>
        <v>0</v>
      </c>
      <c r="E76" s="1622">
        <f t="shared" ca="1" si="1"/>
        <v>0</v>
      </c>
      <c r="F76" s="1627" t="s">
        <v>2235</v>
      </c>
      <c r="G76" s="1627" t="s">
        <v>2261</v>
      </c>
      <c r="H76" s="1639">
        <f>IFERROR(VLOOKUP(Financeiros[[#This Row],[Tipo]],RefTabTipo[],2,FALSE),0)</f>
        <v>22</v>
      </c>
      <c r="I76" s="1633">
        <f>IFERROR(VLOOKUP(Financeiros[[#This Row],[Tipo]],RefTabTipo[],3,FALSE),0)</f>
        <v>60</v>
      </c>
      <c r="J76" s="1633">
        <f>IFERROR(VLOOKUP(Financeiros[[#This Row],[Tipo]],RefTabTipo[],4,FALSE),0)</f>
        <v>240</v>
      </c>
      <c r="K76" s="1639">
        <f>IFERROR(VLOOKUP(Financeiros[[#This Row],[Grupo Tarifário]],RefTabGrupoTarifa[],2,FALSE),0)</f>
        <v>2</v>
      </c>
      <c r="L76" s="1639">
        <f>IFERROR(VLOOKUP(Financeiros[[#This Row],[Grupo Tarifário]],RefTabGrupoTarifa[],3,FALSE),0)</f>
        <v>24</v>
      </c>
      <c r="M76" s="1639">
        <f>IFERROR(VLOOKUP(Financeiros[[#This Row],[Grupo Tarifário]],RefTabGrupoTarifa[],4,FALSE),0)</f>
        <v>9</v>
      </c>
    </row>
    <row r="77" spans="3:13" ht="16.5">
      <c r="C77" s="1661" t="s">
        <v>2312</v>
      </c>
      <c r="D77" s="1758">
        <f ca="1">IFERROR(CVE!$I$9*H2,0)</f>
        <v>-202804.01580950824</v>
      </c>
      <c r="E77" s="1623">
        <f t="shared" ca="1" si="1"/>
        <v>-9.1203523869480586E-3</v>
      </c>
      <c r="F77" s="1628" t="s">
        <v>2240</v>
      </c>
      <c r="G77" s="1628" t="s">
        <v>2257</v>
      </c>
      <c r="H77" s="1640">
        <f>IFERROR(VLOOKUP(Financeiros[[#This Row],[Tipo]],RefTabTipo[],2,FALSE),0)</f>
        <v>22</v>
      </c>
      <c r="I77" s="1634">
        <f>IFERROR(VLOOKUP(Financeiros[[#This Row],[Tipo]],RefTabTipo[],3,FALSE),0)</f>
        <v>60</v>
      </c>
      <c r="J77" s="1634">
        <f>IFERROR(VLOOKUP(Financeiros[[#This Row],[Tipo]],RefTabTipo[],4,FALSE),0)</f>
        <v>106</v>
      </c>
      <c r="K77" s="1640">
        <f>IFERROR(VLOOKUP(Financeiros[[#This Row],[Grupo Tarifário]],RefTabGrupoTarifa[],2,FALSE),0)</f>
        <v>2</v>
      </c>
      <c r="L77" s="1640">
        <f>IFERROR(VLOOKUP(Financeiros[[#This Row],[Grupo Tarifário]],RefTabGrupoTarifa[],3,FALSE),0)</f>
        <v>11</v>
      </c>
      <c r="M77" s="1640">
        <f>IFERROR(VLOOKUP(Financeiros[[#This Row],[Grupo Tarifário]],RefTabGrupoTarifa[],4,FALSE),0)</f>
        <v>9</v>
      </c>
    </row>
    <row r="78" spans="3:13" ht="16.5" hidden="1">
      <c r="C78" s="1661" t="s">
        <v>2313</v>
      </c>
      <c r="D78" s="1758">
        <f ca="1">IFERROR(CVE!$I$9*H3,0)</f>
        <v>0</v>
      </c>
      <c r="E78" s="1623">
        <f t="shared" ca="1" si="1"/>
        <v>0</v>
      </c>
      <c r="F78" s="1628" t="s">
        <v>2240</v>
      </c>
      <c r="G78" s="1628" t="s">
        <v>2259</v>
      </c>
      <c r="H78" s="1640">
        <f>IFERROR(VLOOKUP(Financeiros[[#This Row],[Tipo]],RefTabTipo[],2,FALSE),0)</f>
        <v>22</v>
      </c>
      <c r="I78" s="1634">
        <f>IFERROR(VLOOKUP(Financeiros[[#This Row],[Tipo]],RefTabTipo[],3,FALSE),0)</f>
        <v>60</v>
      </c>
      <c r="J78" s="1634">
        <f>IFERROR(VLOOKUP(Financeiros[[#This Row],[Tipo]],RefTabTipo[],4,FALSE),0)</f>
        <v>106</v>
      </c>
      <c r="K78" s="1640">
        <f>IFERROR(VLOOKUP(Financeiros[[#This Row],[Grupo Tarifário]],RefTabGrupoTarifa[],2,FALSE),0)</f>
        <v>2</v>
      </c>
      <c r="L78" s="1640">
        <f>IFERROR(VLOOKUP(Financeiros[[#This Row],[Grupo Tarifário]],RefTabGrupoTarifa[],3,FALSE),0)</f>
        <v>9</v>
      </c>
      <c r="M78" s="1640">
        <f>IFERROR(VLOOKUP(Financeiros[[#This Row],[Grupo Tarifário]],RefTabGrupoTarifa[],4,FALSE),0)</f>
        <v>9</v>
      </c>
    </row>
    <row r="79" spans="3:13" ht="16.5">
      <c r="C79" s="1661" t="s">
        <v>2314</v>
      </c>
      <c r="D79" s="1758">
        <f ca="1">IFERROR(CVE!$I$9*H4,0)</f>
        <v>-1394.6875831415982</v>
      </c>
      <c r="E79" s="1623">
        <f t="shared" ca="1" si="1"/>
        <v>-6.2720859728439016E-5</v>
      </c>
      <c r="F79" s="1628" t="s">
        <v>2240</v>
      </c>
      <c r="G79" s="1628" t="s">
        <v>2262</v>
      </c>
      <c r="H79" s="1640">
        <f>IFERROR(VLOOKUP(Financeiros[[#This Row],[Tipo]],RefTabTipo[],2,FALSE),0)</f>
        <v>22</v>
      </c>
      <c r="I79" s="1634">
        <f>IFERROR(VLOOKUP(Financeiros[[#This Row],[Tipo]],RefTabTipo[],3,FALSE),0)</f>
        <v>60</v>
      </c>
      <c r="J79" s="1634">
        <f>IFERROR(VLOOKUP(Financeiros[[#This Row],[Tipo]],RefTabTipo[],4,FALSE),0)</f>
        <v>106</v>
      </c>
      <c r="K79" s="1640">
        <f>IFERROR(VLOOKUP(Financeiros[[#This Row],[Grupo Tarifário]],RefTabGrupoTarifa[],2,FALSE),0)</f>
        <v>2</v>
      </c>
      <c r="L79" s="1640">
        <f>IFERROR(VLOOKUP(Financeiros[[#This Row],[Grupo Tarifário]],RefTabGrupoTarifa[],3,FALSE),0)</f>
        <v>8</v>
      </c>
      <c r="M79" s="1640">
        <f>IFERROR(VLOOKUP(Financeiros[[#This Row],[Grupo Tarifário]],RefTabGrupoTarifa[],4,FALSE),0)</f>
        <v>9</v>
      </c>
    </row>
    <row r="80" spans="3:13" ht="16.5">
      <c r="C80" s="1661" t="s">
        <v>2315</v>
      </c>
      <c r="D80" s="1758">
        <f ca="1">IFERROR(CVE!$I$9*H5,0)</f>
        <v>-56.362488936650742</v>
      </c>
      <c r="E80" s="1623">
        <f t="shared" ca="1" si="1"/>
        <v>-2.5346922172909737E-6</v>
      </c>
      <c r="F80" s="1628" t="s">
        <v>2240</v>
      </c>
      <c r="G80" s="1628" t="s">
        <v>2260</v>
      </c>
      <c r="H80" s="1640">
        <f>IFERROR(VLOOKUP(Financeiros[[#This Row],[Tipo]],RefTabTipo[],2,FALSE),0)</f>
        <v>22</v>
      </c>
      <c r="I80" s="1634">
        <f>IFERROR(VLOOKUP(Financeiros[[#This Row],[Tipo]],RefTabTipo[],3,FALSE),0)</f>
        <v>60</v>
      </c>
      <c r="J80" s="1634">
        <f>IFERROR(VLOOKUP(Financeiros[[#This Row],[Tipo]],RefTabTipo[],4,FALSE),0)</f>
        <v>106</v>
      </c>
      <c r="K80" s="1640">
        <f>IFERROR(VLOOKUP(Financeiros[[#This Row],[Grupo Tarifário]],RefTabGrupoTarifa[],2,FALSE),0)</f>
        <v>2</v>
      </c>
      <c r="L80" s="1640">
        <f>IFERROR(VLOOKUP(Financeiros[[#This Row],[Grupo Tarifário]],RefTabGrupoTarifa[],3,FALSE),0)</f>
        <v>10</v>
      </c>
      <c r="M80" s="1640">
        <f>IFERROR(VLOOKUP(Financeiros[[#This Row],[Grupo Tarifário]],RefTabGrupoTarifa[],4,FALSE),0)</f>
        <v>9</v>
      </c>
    </row>
    <row r="81" spans="3:13" ht="16.5">
      <c r="C81" s="1661" t="s">
        <v>2316</v>
      </c>
      <c r="D81" s="1758">
        <f ca="1">IFERROR(CVE!$I$9*H6,0)</f>
        <v>-8195.7703184134862</v>
      </c>
      <c r="E81" s="1623">
        <f t="shared" ca="1" si="1"/>
        <v>-3.6857412851543737E-4</v>
      </c>
      <c r="F81" s="1628" t="s">
        <v>2240</v>
      </c>
      <c r="G81" s="1628" t="s">
        <v>2261</v>
      </c>
      <c r="H81" s="1640">
        <f>IFERROR(VLOOKUP(Financeiros[[#This Row],[Tipo]],RefTabTipo[],2,FALSE),0)</f>
        <v>22</v>
      </c>
      <c r="I81" s="1634">
        <f>IFERROR(VLOOKUP(Financeiros[[#This Row],[Tipo]],RefTabTipo[],3,FALSE),0)</f>
        <v>60</v>
      </c>
      <c r="J81" s="1634">
        <f>IFERROR(VLOOKUP(Financeiros[[#This Row],[Tipo]],RefTabTipo[],4,FALSE),0)</f>
        <v>106</v>
      </c>
      <c r="K81" s="1640">
        <f>IFERROR(VLOOKUP(Financeiros[[#This Row],[Grupo Tarifário]],RefTabGrupoTarifa[],2,FALSE),0)</f>
        <v>2</v>
      </c>
      <c r="L81" s="1640">
        <f>IFERROR(VLOOKUP(Financeiros[[#This Row],[Grupo Tarifário]],RefTabGrupoTarifa[],3,FALSE),0)</f>
        <v>24</v>
      </c>
      <c r="M81" s="1640">
        <f>IFERROR(VLOOKUP(Financeiros[[#This Row],[Grupo Tarifário]],RefTabGrupoTarifa[],4,FALSE),0)</f>
        <v>9</v>
      </c>
    </row>
    <row r="82" spans="3:13" ht="16.5">
      <c r="C82" s="1662" t="s">
        <v>2293</v>
      </c>
      <c r="D82" s="1759">
        <f ca="1">IFERROR(CVE!$I$15*H2,0)</f>
        <v>-506050.00032997795</v>
      </c>
      <c r="E82" s="1672">
        <f t="shared" ca="1" si="1"/>
        <v>-2.2757706793931218E-2</v>
      </c>
      <c r="F82" s="1629" t="s">
        <v>1305</v>
      </c>
      <c r="G82" s="1629" t="s">
        <v>2257</v>
      </c>
      <c r="H82" s="1641">
        <f>IFERROR(VLOOKUP(Financeiros[[#This Row],[Tipo]],RefTabTipo[],2,FALSE),0)</f>
        <v>22</v>
      </c>
      <c r="I82" s="1635">
        <f>IFERROR(VLOOKUP(Financeiros[[#This Row],[Tipo]],RefTabTipo[],3,FALSE),0)</f>
        <v>62</v>
      </c>
      <c r="J82" s="1635">
        <f>IFERROR(VLOOKUP(Financeiros[[#This Row],[Tipo]],RefTabTipo[],4,FALSE),0)</f>
        <v>220</v>
      </c>
      <c r="K82" s="1641">
        <f>IFERROR(VLOOKUP(Financeiros[[#This Row],[Grupo Tarifário]],RefTabGrupoTarifa[],2,FALSE),0)</f>
        <v>2</v>
      </c>
      <c r="L82" s="1641">
        <f>IFERROR(VLOOKUP(Financeiros[[#This Row],[Grupo Tarifário]],RefTabGrupoTarifa[],3,FALSE),0)</f>
        <v>11</v>
      </c>
      <c r="M82" s="1641">
        <f>IFERROR(VLOOKUP(Financeiros[[#This Row],[Grupo Tarifário]],RefTabGrupoTarifa[],4,FALSE),0)</f>
        <v>9</v>
      </c>
    </row>
    <row r="83" spans="3:13" ht="16.5" hidden="1">
      <c r="C83" s="1662" t="s">
        <v>2294</v>
      </c>
      <c r="D83" s="1759">
        <f ca="1">IFERROR(CVE!$I$15*H3,0)</f>
        <v>0</v>
      </c>
      <c r="E83" s="1672">
        <f t="shared" ca="1" si="1"/>
        <v>0</v>
      </c>
      <c r="F83" s="1629" t="s">
        <v>1305</v>
      </c>
      <c r="G83" s="1629" t="s">
        <v>2259</v>
      </c>
      <c r="H83" s="1642">
        <f>IFERROR(VLOOKUP(Financeiros[[#This Row],[Tipo]],RefTabTipo[],2,FALSE),0)</f>
        <v>22</v>
      </c>
      <c r="I83" s="1636">
        <f>IFERROR(VLOOKUP(Financeiros[[#This Row],[Tipo]],RefTabTipo[],3,FALSE),0)</f>
        <v>62</v>
      </c>
      <c r="J83" s="1636">
        <f>IFERROR(VLOOKUP(Financeiros[[#This Row],[Tipo]],RefTabTipo[],4,FALSE),0)</f>
        <v>220</v>
      </c>
      <c r="K83" s="1642">
        <f>IFERROR(VLOOKUP(Financeiros[[#This Row],[Grupo Tarifário]],RefTabGrupoTarifa[],2,FALSE),0)</f>
        <v>2</v>
      </c>
      <c r="L83" s="1642">
        <f>IFERROR(VLOOKUP(Financeiros[[#This Row],[Grupo Tarifário]],RefTabGrupoTarifa[],3,FALSE),0)</f>
        <v>9</v>
      </c>
      <c r="M83" s="1642">
        <f>IFERROR(VLOOKUP(Financeiros[[#This Row],[Grupo Tarifário]],RefTabGrupoTarifa[],4,FALSE),0)</f>
        <v>9</v>
      </c>
    </row>
    <row r="84" spans="3:13" ht="16.5">
      <c r="C84" s="1662" t="s">
        <v>2295</v>
      </c>
      <c r="D84" s="1759">
        <f ca="1">IFERROR(CVE!$I$15*H4,0)</f>
        <v>-3480.1167476484065</v>
      </c>
      <c r="E84" s="1672">
        <f t="shared" ca="1" si="1"/>
        <v>-1.565052396008076E-4</v>
      </c>
      <c r="F84" s="1629" t="s">
        <v>1305</v>
      </c>
      <c r="G84" s="1629" t="s">
        <v>2262</v>
      </c>
      <c r="H84" s="1642">
        <f>IFERROR(VLOOKUP(Financeiros[[#This Row],[Tipo]],RefTabTipo[],2,FALSE),0)</f>
        <v>22</v>
      </c>
      <c r="I84" s="1636">
        <f>IFERROR(VLOOKUP(Financeiros[[#This Row],[Tipo]],RefTabTipo[],3,FALSE),0)</f>
        <v>62</v>
      </c>
      <c r="J84" s="1636">
        <f>IFERROR(VLOOKUP(Financeiros[[#This Row],[Tipo]],RefTabTipo[],4,FALSE),0)</f>
        <v>220</v>
      </c>
      <c r="K84" s="1642">
        <f>IFERROR(VLOOKUP(Financeiros[[#This Row],[Grupo Tarifário]],RefTabGrupoTarifa[],2,FALSE),0)</f>
        <v>2</v>
      </c>
      <c r="L84" s="1642">
        <f>IFERROR(VLOOKUP(Financeiros[[#This Row],[Grupo Tarifário]],RefTabGrupoTarifa[],3,FALSE),0)</f>
        <v>8</v>
      </c>
      <c r="M84" s="1642">
        <f>IFERROR(VLOOKUP(Financeiros[[#This Row],[Grupo Tarifário]],RefTabGrupoTarifa[],4,FALSE),0)</f>
        <v>9</v>
      </c>
    </row>
    <row r="85" spans="3:13" ht="16.5">
      <c r="C85" s="1662" t="s">
        <v>2296</v>
      </c>
      <c r="D85" s="1759">
        <f ca="1">IFERROR(CVE!$I$15*H5,0)</f>
        <v>-140.6394120508005</v>
      </c>
      <c r="E85" s="1672">
        <f t="shared" ca="1" si="1"/>
        <v>-6.3247317479220884E-6</v>
      </c>
      <c r="F85" s="1629" t="s">
        <v>1305</v>
      </c>
      <c r="G85" s="1629" t="s">
        <v>2260</v>
      </c>
      <c r="H85" s="1642">
        <f>IFERROR(VLOOKUP(Financeiros[[#This Row],[Tipo]],RefTabTipo[],2,FALSE),0)</f>
        <v>22</v>
      </c>
      <c r="I85" s="1636">
        <f>IFERROR(VLOOKUP(Financeiros[[#This Row],[Tipo]],RefTabTipo[],3,FALSE),0)</f>
        <v>62</v>
      </c>
      <c r="J85" s="1636">
        <f>IFERROR(VLOOKUP(Financeiros[[#This Row],[Tipo]],RefTabTipo[],4,FALSE),0)</f>
        <v>220</v>
      </c>
      <c r="K85" s="1642">
        <f>IFERROR(VLOOKUP(Financeiros[[#This Row],[Grupo Tarifário]],RefTabGrupoTarifa[],2,FALSE),0)</f>
        <v>2</v>
      </c>
      <c r="L85" s="1642">
        <f>IFERROR(VLOOKUP(Financeiros[[#This Row],[Grupo Tarifário]],RefTabGrupoTarifa[],3,FALSE),0)</f>
        <v>10</v>
      </c>
      <c r="M85" s="1642">
        <f>IFERROR(VLOOKUP(Financeiros[[#This Row],[Grupo Tarifário]],RefTabGrupoTarifa[],4,FALSE),0)</f>
        <v>9</v>
      </c>
    </row>
    <row r="86" spans="3:13" ht="16.5">
      <c r="C86" s="1662" t="s">
        <v>2297</v>
      </c>
      <c r="D86" s="1759">
        <f ca="1">IFERROR(CVE!$I$15*H6,0)</f>
        <v>-20450.628434464754</v>
      </c>
      <c r="E86" s="1672">
        <f t="shared" ca="1" si="1"/>
        <v>-9.1969055500386104E-4</v>
      </c>
      <c r="F86" s="1629" t="s">
        <v>1305</v>
      </c>
      <c r="G86" s="1629" t="s">
        <v>2261</v>
      </c>
      <c r="H86" s="1642">
        <f>IFERROR(VLOOKUP(Financeiros[[#This Row],[Tipo]],RefTabTipo[],2,FALSE),0)</f>
        <v>22</v>
      </c>
      <c r="I86" s="1636">
        <f>IFERROR(VLOOKUP(Financeiros[[#This Row],[Tipo]],RefTabTipo[],3,FALSE),0)</f>
        <v>62</v>
      </c>
      <c r="J86" s="1636">
        <f>IFERROR(VLOOKUP(Financeiros[[#This Row],[Tipo]],RefTabTipo[],4,FALSE),0)</f>
        <v>220</v>
      </c>
      <c r="K86" s="1642">
        <f>IFERROR(VLOOKUP(Financeiros[[#This Row],[Grupo Tarifário]],RefTabGrupoTarifa[],2,FALSE),0)</f>
        <v>2</v>
      </c>
      <c r="L86" s="1642">
        <f>IFERROR(VLOOKUP(Financeiros[[#This Row],[Grupo Tarifário]],RefTabGrupoTarifa[],3,FALSE),0)</f>
        <v>24</v>
      </c>
      <c r="M86" s="1642">
        <f>IFERROR(VLOOKUP(Financeiros[[#This Row],[Grupo Tarifário]],RefTabGrupoTarifa[],4,FALSE),0)</f>
        <v>9</v>
      </c>
    </row>
    <row r="87" spans="3:13" ht="16.5">
      <c r="C87" s="1671" t="s">
        <v>2298</v>
      </c>
      <c r="D87" s="1760">
        <f ca="1">IFERROR(Energia!$K$66*H2,0)</f>
        <v>603070.82552001963</v>
      </c>
      <c r="E87" s="1672">
        <f t="shared" ca="1" si="1"/>
        <v>2.7120855674754224E-2</v>
      </c>
      <c r="F87" s="1629" t="s">
        <v>2278</v>
      </c>
      <c r="G87" s="1629" t="s">
        <v>2257</v>
      </c>
      <c r="H87" s="1642">
        <f>IFERROR(VLOOKUP(Financeiros[[#This Row],[Tipo]],RefTabTipo[],2,FALSE),0)</f>
        <v>22</v>
      </c>
      <c r="I87" s="1636">
        <f>IFERROR(VLOOKUP(Financeiros[[#This Row],[Tipo]],RefTabTipo[],3,FALSE),0)</f>
        <v>60</v>
      </c>
      <c r="J87" s="1636">
        <f>IFERROR(VLOOKUP(Financeiros[[#This Row],[Tipo]],RefTabTipo[],4,FALSE),0)</f>
        <v>220</v>
      </c>
      <c r="K87" s="1642">
        <f>IFERROR(VLOOKUP(Financeiros[[#This Row],[Grupo Tarifário]],RefTabGrupoTarifa[],2,FALSE),0)</f>
        <v>2</v>
      </c>
      <c r="L87" s="1642">
        <f>IFERROR(VLOOKUP(Financeiros[[#This Row],[Grupo Tarifário]],RefTabGrupoTarifa[],3,FALSE),0)</f>
        <v>11</v>
      </c>
      <c r="M87" s="1642">
        <f>IFERROR(VLOOKUP(Financeiros[[#This Row],[Grupo Tarifário]],RefTabGrupoTarifa[],4,FALSE),0)</f>
        <v>9</v>
      </c>
    </row>
    <row r="88" spans="3:13" ht="16.5" hidden="1">
      <c r="C88" s="1671" t="s">
        <v>2299</v>
      </c>
      <c r="D88" s="1760">
        <f ca="1">IFERROR(Energia!$K$66*H3,0)</f>
        <v>0</v>
      </c>
      <c r="E88" s="1672">
        <f t="shared" ca="1" si="1"/>
        <v>0</v>
      </c>
      <c r="F88" s="1629" t="s">
        <v>2278</v>
      </c>
      <c r="G88" s="1629" t="s">
        <v>2259</v>
      </c>
      <c r="H88" s="1642">
        <f>IFERROR(VLOOKUP(Financeiros[[#This Row],[Tipo]],RefTabTipo[],2,FALSE),0)</f>
        <v>22</v>
      </c>
      <c r="I88" s="1636">
        <f>IFERROR(VLOOKUP(Financeiros[[#This Row],[Tipo]],RefTabTipo[],3,FALSE),0)</f>
        <v>60</v>
      </c>
      <c r="J88" s="1636">
        <f>IFERROR(VLOOKUP(Financeiros[[#This Row],[Tipo]],RefTabTipo[],4,FALSE),0)</f>
        <v>220</v>
      </c>
      <c r="K88" s="1642">
        <f>IFERROR(VLOOKUP(Financeiros[[#This Row],[Grupo Tarifário]],RefTabGrupoTarifa[],2,FALSE),0)</f>
        <v>2</v>
      </c>
      <c r="L88" s="1642">
        <f>IFERROR(VLOOKUP(Financeiros[[#This Row],[Grupo Tarifário]],RefTabGrupoTarifa[],3,FALSE),0)</f>
        <v>9</v>
      </c>
      <c r="M88" s="1642">
        <f>IFERROR(VLOOKUP(Financeiros[[#This Row],[Grupo Tarifário]],RefTabGrupoTarifa[],4,FALSE),0)</f>
        <v>9</v>
      </c>
    </row>
    <row r="89" spans="3:13" ht="16.5">
      <c r="C89" s="1671" t="s">
        <v>2300</v>
      </c>
      <c r="D89" s="1760">
        <f ca="1">IFERROR(Energia!$K$66*H4,0)</f>
        <v>4147.3310513622018</v>
      </c>
      <c r="E89" s="1672">
        <f t="shared" ca="1" si="1"/>
        <v>1.8651070839388018E-4</v>
      </c>
      <c r="F89" s="1629" t="s">
        <v>2278</v>
      </c>
      <c r="G89" s="1629" t="s">
        <v>2262</v>
      </c>
      <c r="H89" s="1642">
        <f>IFERROR(VLOOKUP(Financeiros[[#This Row],[Tipo]],RefTabTipo[],2,FALSE),0)</f>
        <v>22</v>
      </c>
      <c r="I89" s="1636">
        <f>IFERROR(VLOOKUP(Financeiros[[#This Row],[Tipo]],RefTabTipo[],3,FALSE),0)</f>
        <v>60</v>
      </c>
      <c r="J89" s="1636">
        <f>IFERROR(VLOOKUP(Financeiros[[#This Row],[Tipo]],RefTabTipo[],4,FALSE),0)</f>
        <v>220</v>
      </c>
      <c r="K89" s="1642">
        <f>IFERROR(VLOOKUP(Financeiros[[#This Row],[Grupo Tarifário]],RefTabGrupoTarifa[],2,FALSE),0)</f>
        <v>2</v>
      </c>
      <c r="L89" s="1642">
        <f>IFERROR(VLOOKUP(Financeiros[[#This Row],[Grupo Tarifário]],RefTabGrupoTarifa[],3,FALSE),0)</f>
        <v>8</v>
      </c>
      <c r="M89" s="1642">
        <f>IFERROR(VLOOKUP(Financeiros[[#This Row],[Grupo Tarifário]],RefTabGrupoTarifa[],4,FALSE),0)</f>
        <v>9</v>
      </c>
    </row>
    <row r="90" spans="3:13" ht="16.5">
      <c r="C90" s="1671" t="s">
        <v>2301</v>
      </c>
      <c r="D90" s="1760">
        <f ca="1">IFERROR(Energia!$K$66*H5,0)</f>
        <v>167.60305556925428</v>
      </c>
      <c r="E90" s="1672">
        <f t="shared" ca="1" si="1"/>
        <v>7.5373208060960384E-6</v>
      </c>
      <c r="F90" s="1629" t="s">
        <v>2278</v>
      </c>
      <c r="G90" s="1629" t="s">
        <v>2260</v>
      </c>
      <c r="H90" s="1642">
        <f>IFERROR(VLOOKUP(Financeiros[[#This Row],[Tipo]],RefTabTipo[],2,FALSE),0)</f>
        <v>22</v>
      </c>
      <c r="I90" s="1636">
        <f>IFERROR(VLOOKUP(Financeiros[[#This Row],[Tipo]],RefTabTipo[],3,FALSE),0)</f>
        <v>60</v>
      </c>
      <c r="J90" s="1636">
        <f>IFERROR(VLOOKUP(Financeiros[[#This Row],[Tipo]],RefTabTipo[],4,FALSE),0)</f>
        <v>220</v>
      </c>
      <c r="K90" s="1642">
        <f>IFERROR(VLOOKUP(Financeiros[[#This Row],[Grupo Tarifário]],RefTabGrupoTarifa[],2,FALSE),0)</f>
        <v>2</v>
      </c>
      <c r="L90" s="1642">
        <f>IFERROR(VLOOKUP(Financeiros[[#This Row],[Grupo Tarifário]],RefTabGrupoTarifa[],3,FALSE),0)</f>
        <v>10</v>
      </c>
      <c r="M90" s="1642">
        <f>IFERROR(VLOOKUP(Financeiros[[#This Row],[Grupo Tarifário]],RefTabGrupoTarifa[],4,FALSE),0)</f>
        <v>9</v>
      </c>
    </row>
    <row r="91" spans="3:13" ht="16.5">
      <c r="C91" s="1671" t="s">
        <v>2302</v>
      </c>
      <c r="D91" s="1760">
        <f ca="1">IFERROR(Energia!$K$66*H6,0)</f>
        <v>24371.460061918388</v>
      </c>
      <c r="E91" s="1672">
        <f t="shared" ca="1" si="1"/>
        <v>1.0960152986216434E-3</v>
      </c>
      <c r="F91" s="1629" t="s">
        <v>2278</v>
      </c>
      <c r="G91" s="1629" t="s">
        <v>2261</v>
      </c>
      <c r="H91" s="1642">
        <f>IFERROR(VLOOKUP(Financeiros[[#This Row],[Tipo]],RefTabTipo[],2,FALSE),0)</f>
        <v>22</v>
      </c>
      <c r="I91" s="1636">
        <f>IFERROR(VLOOKUP(Financeiros[[#This Row],[Tipo]],RefTabTipo[],3,FALSE),0)</f>
        <v>60</v>
      </c>
      <c r="J91" s="1636">
        <f>IFERROR(VLOOKUP(Financeiros[[#This Row],[Tipo]],RefTabTipo[],4,FALSE),0)</f>
        <v>220</v>
      </c>
      <c r="K91" s="1642">
        <f>IFERROR(VLOOKUP(Financeiros[[#This Row],[Grupo Tarifário]],RefTabGrupoTarifa[],2,FALSE),0)</f>
        <v>2</v>
      </c>
      <c r="L91" s="1642">
        <f>IFERROR(VLOOKUP(Financeiros[[#This Row],[Grupo Tarifário]],RefTabGrupoTarifa[],3,FALSE),0)</f>
        <v>24</v>
      </c>
      <c r="M91" s="1642">
        <f>IFERROR(VLOOKUP(Financeiros[[#This Row],[Grupo Tarifário]],RefTabGrupoTarifa[],4,FALSE),0)</f>
        <v>9</v>
      </c>
    </row>
    <row r="92" spans="3:13" ht="16.5" hidden="1">
      <c r="C92" s="1618" t="s">
        <v>2416</v>
      </c>
      <c r="D92" s="1761"/>
      <c r="E92" s="1620">
        <f t="shared" ca="1" si="1"/>
        <v>0</v>
      </c>
      <c r="F92" s="1664"/>
      <c r="G92" s="1664"/>
      <c r="H92" s="1666">
        <f>IFERROR(VLOOKUP(Financeiros[[#This Row],[Tipo]],RefTabTipo[],2,FALSE),0)</f>
        <v>0</v>
      </c>
      <c r="I92" s="1631">
        <f>IFERROR(VLOOKUP(Financeiros[[#This Row],[Tipo]],RefTabTipo[],3,FALSE),0)</f>
        <v>0</v>
      </c>
      <c r="J92" s="1631">
        <f>IFERROR(VLOOKUP(Financeiros[[#This Row],[Tipo]],RefTabTipo[],4,FALSE),0)</f>
        <v>0</v>
      </c>
      <c r="K92" s="1666">
        <f>IFERROR(VLOOKUP(Financeiros[[#This Row],[Grupo Tarifário]],RefTabGrupoTarifa[],2,FALSE),0)</f>
        <v>0</v>
      </c>
      <c r="L92" s="1666">
        <f>IFERROR(VLOOKUP(Financeiros[[#This Row],[Grupo Tarifário]],RefTabGrupoTarifa[],3,FALSE),0)</f>
        <v>0</v>
      </c>
      <c r="M92" s="1666">
        <f>IFERROR(VLOOKUP(Financeiros[[#This Row],[Grupo Tarifário]],RefTabGrupoTarifa[],4,FALSE),0)</f>
        <v>0</v>
      </c>
    </row>
    <row r="93" spans="3:13" ht="16.5" hidden="1">
      <c r="C93" s="1618" t="s">
        <v>2417</v>
      </c>
      <c r="D93" s="1761"/>
      <c r="E93" s="1620">
        <f t="shared" ca="1" si="1"/>
        <v>0</v>
      </c>
      <c r="F93" s="1664"/>
      <c r="G93" s="1664"/>
      <c r="H93" s="1666">
        <f>IFERROR(VLOOKUP(Financeiros[[#This Row],[Tipo]],RefTabTipo[],2,FALSE),0)</f>
        <v>0</v>
      </c>
      <c r="I93" s="1631">
        <f>IFERROR(VLOOKUP(Financeiros[[#This Row],[Tipo]],RefTabTipo[],3,FALSE),0)</f>
        <v>0</v>
      </c>
      <c r="J93" s="1631">
        <f>IFERROR(VLOOKUP(Financeiros[[#This Row],[Tipo]],RefTabTipo[],4,FALSE),0)</f>
        <v>0</v>
      </c>
      <c r="K93" s="1666">
        <f>IFERROR(VLOOKUP(Financeiros[[#This Row],[Grupo Tarifário]],RefTabGrupoTarifa[],2,FALSE),0)</f>
        <v>0</v>
      </c>
      <c r="L93" s="1666">
        <f>IFERROR(VLOOKUP(Financeiros[[#This Row],[Grupo Tarifário]],RefTabGrupoTarifa[],3,FALSE),0)</f>
        <v>0</v>
      </c>
      <c r="M93" s="1666">
        <f>IFERROR(VLOOKUP(Financeiros[[#This Row],[Grupo Tarifário]],RefTabGrupoTarifa[],4,FALSE),0)</f>
        <v>0</v>
      </c>
    </row>
    <row r="94" spans="3:13" ht="16.5" hidden="1">
      <c r="C94" s="1776" t="s">
        <v>2418</v>
      </c>
      <c r="D94" s="1762"/>
      <c r="E94" s="1620">
        <f t="shared" ca="1" si="1"/>
        <v>0</v>
      </c>
      <c r="F94" s="1664"/>
      <c r="G94" s="1674"/>
      <c r="H94" s="1666">
        <f>IFERROR(VLOOKUP(Financeiros[[#This Row],[Tipo]],RefTabTipo[],2,FALSE),0)</f>
        <v>0</v>
      </c>
      <c r="I94" s="1631">
        <f>IFERROR(VLOOKUP(Financeiros[[#This Row],[Tipo]],RefTabTipo[],3,FALSE),0)</f>
        <v>0</v>
      </c>
      <c r="J94" s="1631">
        <f>IFERROR(VLOOKUP(Financeiros[[#This Row],[Tipo]],RefTabTipo[],4,FALSE),0)</f>
        <v>0</v>
      </c>
      <c r="K94" s="1666">
        <f>IFERROR(VLOOKUP(Financeiros[[#This Row],[Grupo Tarifário]],RefTabGrupoTarifa[],2,FALSE),0)</f>
        <v>0</v>
      </c>
      <c r="L94" s="1666">
        <f>IFERROR(VLOOKUP(Financeiros[[#This Row],[Grupo Tarifário]],RefTabGrupoTarifa[],3,FALSE),0)</f>
        <v>0</v>
      </c>
      <c r="M94" s="1666">
        <f>IFERROR(VLOOKUP(Financeiros[[#This Row],[Grupo Tarifário]],RefTabGrupoTarifa[],4,FALSE),0)</f>
        <v>0</v>
      </c>
    </row>
    <row r="95" spans="3:13" ht="16.5" hidden="1">
      <c r="C95" s="1618" t="s">
        <v>2419</v>
      </c>
      <c r="D95" s="1761"/>
      <c r="E95" s="1620">
        <f t="shared" ca="1" si="1"/>
        <v>0</v>
      </c>
      <c r="F95" s="1664"/>
      <c r="G95" s="1664"/>
      <c r="H95" s="1666">
        <f>IFERROR(VLOOKUP(Financeiros[[#This Row],[Tipo]],RefTabTipo[],2,FALSE),0)</f>
        <v>0</v>
      </c>
      <c r="I95" s="1631">
        <f>IFERROR(VLOOKUP(Financeiros[[#This Row],[Tipo]],RefTabTipo[],3,FALSE),0)</f>
        <v>0</v>
      </c>
      <c r="J95" s="1631">
        <f>IFERROR(VLOOKUP(Financeiros[[#This Row],[Tipo]],RefTabTipo[],4,FALSE),0)</f>
        <v>0</v>
      </c>
      <c r="K95" s="1666">
        <f>IFERROR(VLOOKUP(Financeiros[[#This Row],[Grupo Tarifário]],RefTabGrupoTarifa[],2,FALSE),0)</f>
        <v>0</v>
      </c>
      <c r="L95" s="1666">
        <f>IFERROR(VLOOKUP(Financeiros[[#This Row],[Grupo Tarifário]],RefTabGrupoTarifa[],3,FALSE),0)</f>
        <v>0</v>
      </c>
      <c r="M95" s="1666">
        <f>IFERROR(VLOOKUP(Financeiros[[#This Row],[Grupo Tarifário]],RefTabGrupoTarifa[],4,FALSE),0)</f>
        <v>0</v>
      </c>
    </row>
    <row r="96" spans="3:13" ht="16.5" hidden="1">
      <c r="C96" s="1618" t="s">
        <v>2420</v>
      </c>
      <c r="D96" s="1761"/>
      <c r="E96" s="1620">
        <f t="shared" ca="1" si="1"/>
        <v>0</v>
      </c>
      <c r="F96" s="1664"/>
      <c r="G96" s="1664"/>
      <c r="H96" s="1666">
        <f>IFERROR(VLOOKUP(Financeiros[[#This Row],[Tipo]],RefTabTipo[],2,FALSE),0)</f>
        <v>0</v>
      </c>
      <c r="I96" s="1631">
        <f>IFERROR(VLOOKUP(Financeiros[[#This Row],[Tipo]],RefTabTipo[],3,FALSE),0)</f>
        <v>0</v>
      </c>
      <c r="J96" s="1631">
        <f>IFERROR(VLOOKUP(Financeiros[[#This Row],[Tipo]],RefTabTipo[],4,FALSE),0)</f>
        <v>0</v>
      </c>
      <c r="K96" s="1666">
        <f>IFERROR(VLOOKUP(Financeiros[[#This Row],[Grupo Tarifário]],RefTabGrupoTarifa[],2,FALSE),0)</f>
        <v>0</v>
      </c>
      <c r="L96" s="1666">
        <f>IFERROR(VLOOKUP(Financeiros[[#This Row],[Grupo Tarifário]],RefTabGrupoTarifa[],3,FALSE),0)</f>
        <v>0</v>
      </c>
      <c r="M96" s="1666">
        <f>IFERROR(VLOOKUP(Financeiros[[#This Row],[Grupo Tarifário]],RefTabGrupoTarifa[],4,FALSE),0)</f>
        <v>0</v>
      </c>
    </row>
    <row r="97" spans="3:13" ht="16.5" hidden="1">
      <c r="C97" s="1618" t="s">
        <v>2421</v>
      </c>
      <c r="D97" s="1761"/>
      <c r="E97" s="1620">
        <f t="shared" ca="1" si="1"/>
        <v>0</v>
      </c>
      <c r="F97" s="1664"/>
      <c r="G97" s="1664"/>
      <c r="H97" s="1666">
        <f>IFERROR(VLOOKUP(Financeiros[[#This Row],[Tipo]],RefTabTipo[],2,FALSE),0)</f>
        <v>0</v>
      </c>
      <c r="I97" s="1631">
        <f>IFERROR(VLOOKUP(Financeiros[[#This Row],[Tipo]],RefTabTipo[],3,FALSE),0)</f>
        <v>0</v>
      </c>
      <c r="J97" s="1631">
        <f>IFERROR(VLOOKUP(Financeiros[[#This Row],[Tipo]],RefTabTipo[],4,FALSE),0)</f>
        <v>0</v>
      </c>
      <c r="K97" s="1666">
        <f>IFERROR(VLOOKUP(Financeiros[[#This Row],[Grupo Tarifário]],RefTabGrupoTarifa[],2,FALSE),0)</f>
        <v>0</v>
      </c>
      <c r="L97" s="1666">
        <f>IFERROR(VLOOKUP(Financeiros[[#This Row],[Grupo Tarifário]],RefTabGrupoTarifa[],3,FALSE),0)</f>
        <v>0</v>
      </c>
      <c r="M97" s="1666">
        <f>IFERROR(VLOOKUP(Financeiros[[#This Row],[Grupo Tarifário]],RefTabGrupoTarifa[],4,FALSE),0)</f>
        <v>0</v>
      </c>
    </row>
    <row r="98" spans="3:13" ht="16.5" hidden="1">
      <c r="C98" s="1618"/>
      <c r="D98" s="1761"/>
      <c r="E98" s="1620">
        <f t="shared" ca="1" si="1"/>
        <v>0</v>
      </c>
      <c r="F98" s="1664"/>
      <c r="G98" s="1664"/>
      <c r="H98" s="1666">
        <f>IFERROR(VLOOKUP(Financeiros[[#This Row],[Tipo]],RefTabTipo[],2,FALSE),0)</f>
        <v>0</v>
      </c>
      <c r="I98" s="1631">
        <f>IFERROR(VLOOKUP(Financeiros[[#This Row],[Tipo]],RefTabTipo[],3,FALSE),0)</f>
        <v>0</v>
      </c>
      <c r="J98" s="1631">
        <f>IFERROR(VLOOKUP(Financeiros[[#This Row],[Tipo]],RefTabTipo[],4,FALSE),0)</f>
        <v>0</v>
      </c>
      <c r="K98" s="1666">
        <f>IFERROR(VLOOKUP(Financeiros[[#This Row],[Grupo Tarifário]],RefTabGrupoTarifa[],2,FALSE),0)</f>
        <v>0</v>
      </c>
      <c r="L98" s="1666">
        <f>IFERROR(VLOOKUP(Financeiros[[#This Row],[Grupo Tarifário]],RefTabGrupoTarifa[],3,FALSE),0)</f>
        <v>0</v>
      </c>
      <c r="M98" s="1666">
        <f>IFERROR(VLOOKUP(Financeiros[[#This Row],[Grupo Tarifário]],RefTabGrupoTarifa[],4,FALSE),0)</f>
        <v>0</v>
      </c>
    </row>
    <row r="99" spans="3:13" ht="16.5" hidden="1">
      <c r="C99" s="1618"/>
      <c r="D99" s="1761"/>
      <c r="E99" s="1620">
        <f t="shared" ca="1" si="1"/>
        <v>0</v>
      </c>
      <c r="F99" s="1664"/>
      <c r="G99" s="1664"/>
      <c r="H99" s="1666">
        <f>IFERROR(VLOOKUP(Financeiros[[#This Row],[Tipo]],RefTabTipo[],2,FALSE),0)</f>
        <v>0</v>
      </c>
      <c r="I99" s="1631">
        <f>IFERROR(VLOOKUP(Financeiros[[#This Row],[Tipo]],RefTabTipo[],3,FALSE),0)</f>
        <v>0</v>
      </c>
      <c r="J99" s="1631">
        <f>IFERROR(VLOOKUP(Financeiros[[#This Row],[Tipo]],RefTabTipo[],4,FALSE),0)</f>
        <v>0</v>
      </c>
      <c r="K99" s="1666">
        <f>IFERROR(VLOOKUP(Financeiros[[#This Row],[Grupo Tarifário]],RefTabGrupoTarifa[],2,FALSE),0)</f>
        <v>0</v>
      </c>
      <c r="L99" s="1666">
        <f>IFERROR(VLOOKUP(Financeiros[[#This Row],[Grupo Tarifário]],RefTabGrupoTarifa[],3,FALSE),0)</f>
        <v>0</v>
      </c>
      <c r="M99" s="1666">
        <f>IFERROR(VLOOKUP(Financeiros[[#This Row],[Grupo Tarifário]],RefTabGrupoTarifa[],4,FALSE),0)</f>
        <v>0</v>
      </c>
    </row>
    <row r="100" spans="3:13" ht="16.5" hidden="1">
      <c r="C100" s="1618"/>
      <c r="D100" s="1761"/>
      <c r="E100" s="1620">
        <f t="shared" ca="1" si="1"/>
        <v>0</v>
      </c>
      <c r="F100" s="1664"/>
      <c r="G100" s="1664"/>
      <c r="H100" s="1666">
        <f>IFERROR(VLOOKUP(Financeiros[[#This Row],[Tipo]],RefTabTipo[],2,FALSE),0)</f>
        <v>0</v>
      </c>
      <c r="I100" s="1631">
        <f>IFERROR(VLOOKUP(Financeiros[[#This Row],[Tipo]],RefTabTipo[],3,FALSE),0)</f>
        <v>0</v>
      </c>
      <c r="J100" s="1631">
        <f>IFERROR(VLOOKUP(Financeiros[[#This Row],[Tipo]],RefTabTipo[],4,FALSE),0)</f>
        <v>0</v>
      </c>
      <c r="K100" s="1666">
        <f>IFERROR(VLOOKUP(Financeiros[[#This Row],[Grupo Tarifário]],RefTabGrupoTarifa[],2,FALSE),0)</f>
        <v>0</v>
      </c>
      <c r="L100" s="1666">
        <f>IFERROR(VLOOKUP(Financeiros[[#This Row],[Grupo Tarifário]],RefTabGrupoTarifa[],3,FALSE),0)</f>
        <v>0</v>
      </c>
      <c r="M100" s="1666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34 D39:D42 D49:D72 D73:D91 E9 E10:E14 E15:E23 E24:E48 E49:E65 E66:E76 E77:E91 E92:E100 H37:M37 H46:M46 H47:M48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2284</v>
      </c>
      <c r="B1" s="1226"/>
      <c r="C1" s="1226"/>
      <c r="D1" s="1226"/>
      <c r="E1" s="933"/>
      <c r="F1" s="933"/>
      <c r="G1" s="1129" t="s">
        <v>871</v>
      </c>
      <c r="H1" s="1130">
        <f ca="1">LnkTXTIRTEco</f>
        <v>0.1694</v>
      </c>
    </row>
    <row r="2" spans="1:8" ht="16.5">
      <c r="A2" s="136" t="str">
        <f>CAPA!C9</f>
        <v>Cejama</v>
      </c>
      <c r="B2" s="70"/>
      <c r="C2" s="70"/>
      <c r="D2" s="70"/>
      <c r="E2" s="70"/>
      <c r="F2" s="70"/>
      <c r="G2" s="120" t="s">
        <v>875</v>
      </c>
      <c r="H2" s="121">
        <f ca="1">LnkTXTIRTTotal</f>
        <v>1.52E-2</v>
      </c>
    </row>
    <row r="7" spans="1:8">
      <c r="A7" s="1843" t="s">
        <v>2044</v>
      </c>
      <c r="B7" s="1843"/>
      <c r="C7" s="1843"/>
      <c r="D7" s="1843"/>
      <c r="E7" s="1843"/>
      <c r="F7" s="1843"/>
      <c r="G7" s="1843"/>
      <c r="H7" s="1843"/>
    </row>
    <row r="9" spans="1:8">
      <c r="A9" s="9" t="s">
        <v>2283</v>
      </c>
    </row>
    <row r="12" spans="1:8">
      <c r="A12" s="688" t="s">
        <v>192</v>
      </c>
      <c r="B12" s="296" t="s">
        <v>2039</v>
      </c>
    </row>
    <row r="13" spans="1:8">
      <c r="A13" s="688" t="s">
        <v>950</v>
      </c>
      <c r="B13" s="1721"/>
    </row>
    <row r="14" spans="1:8">
      <c r="A14" s="688" t="s">
        <v>969</v>
      </c>
      <c r="B14" s="1721"/>
    </row>
    <row r="16" spans="1:8">
      <c r="A16" s="296" t="s">
        <v>192</v>
      </c>
      <c r="B16" s="296" t="s">
        <v>2045</v>
      </c>
      <c r="C16" s="296" t="s">
        <v>2040</v>
      </c>
      <c r="D16" s="296" t="s">
        <v>2041</v>
      </c>
      <c r="E16" s="296" t="s">
        <v>767</v>
      </c>
    </row>
    <row r="17" spans="1:8">
      <c r="A17" s="688" t="s">
        <v>767</v>
      </c>
      <c r="B17" s="1722">
        <f>B18+B19</f>
        <v>0</v>
      </c>
      <c r="C17" s="1722">
        <f>Indexador!R49</f>
        <v>0</v>
      </c>
      <c r="D17" s="1722">
        <f>C17*85%</f>
        <v>0</v>
      </c>
      <c r="E17" s="1722">
        <f>SUM(B17:D17)</f>
        <v>0</v>
      </c>
    </row>
    <row r="18" spans="1:8">
      <c r="A18" s="688" t="s">
        <v>950</v>
      </c>
      <c r="B18" s="1722">
        <f>Indexador!V49</f>
        <v>0</v>
      </c>
      <c r="C18" s="1722">
        <f>IFERROR($C$17*C41,0)</f>
        <v>0</v>
      </c>
      <c r="D18" s="1722">
        <f t="shared" ref="D18:D19" si="0">C18*85%</f>
        <v>0</v>
      </c>
      <c r="E18" s="1722">
        <f t="shared" ref="E18:E19" si="1">SUM(B18:D18)</f>
        <v>0</v>
      </c>
    </row>
    <row r="19" spans="1:8">
      <c r="A19" s="688" t="s">
        <v>969</v>
      </c>
      <c r="B19" s="1722">
        <f>Indexador!T49</f>
        <v>0</v>
      </c>
      <c r="C19" s="1722">
        <f>IFERROR($C$17*D41,0)</f>
        <v>0</v>
      </c>
      <c r="D19" s="1722">
        <f t="shared" si="0"/>
        <v>0</v>
      </c>
      <c r="E19" s="1722">
        <f t="shared" si="1"/>
        <v>0</v>
      </c>
    </row>
    <row r="24" spans="1:8">
      <c r="A24" s="1843" t="s">
        <v>2198</v>
      </c>
      <c r="B24" s="1843"/>
      <c r="C24" s="1843"/>
      <c r="D24" s="1843"/>
      <c r="E24" s="1843"/>
      <c r="F24" s="1843"/>
      <c r="G24" s="1843"/>
      <c r="H24" s="1843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264772.66203000001</v>
      </c>
      <c r="D28" s="232">
        <f>SUMIF(FaturasT!$I:$I,'Tributos suprimento'!$B28,FaturasT!AB:AB)</f>
        <v>848057.97219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260919.13227</v>
      </c>
      <c r="D29" s="232">
        <f>SUMIF(FaturasT!$I:$I,'Tributos suprimento'!$B29,FaturasT!AB:AB)</f>
        <v>816808.14599999995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263010.86777000001</v>
      </c>
      <c r="D30" s="232">
        <f>IF(SUMIF(FaturasT!$I:$I,'Tributos suprimento'!$B30,FaturasT!AB:AB)=0,D29,SUMIF(FaturasT!$I:$I,'Tributos suprimento'!$B30,FaturasT!AB:AB))</f>
        <v>968617.70459999994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274119.90080999996</v>
      </c>
      <c r="D31" s="232">
        <f>IF(SUMIF(FaturasT!$I:$I,'Tributos suprimento'!$B31,FaturasT!AB:AB)=0,D30,SUMIF(FaturasT!$I:$I,'Tributos suprimento'!$B31,FaturasT!AB:AB))</f>
        <v>1020708.8424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313118.77632999996</v>
      </c>
      <c r="D32" s="232">
        <f>IF(SUMIF(FaturasT!$I:$I,'Tributos suprimento'!$B32,FaturasT!AB:AB)=0,D31,SUMIF(FaturasT!$I:$I,'Tributos suprimento'!$B32,FaturasT!AB:AB))</f>
        <v>1091706.0687000002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317880.12257000001</v>
      </c>
      <c r="D33" s="232">
        <f>IF(SUMIF(FaturasT!$I:$I,'Tributos suprimento'!$B33,FaturasT!AB:AB)=0,D32,SUMIF(FaturasT!$I:$I,'Tributos suprimento'!$B33,FaturasT!AB:AB))</f>
        <v>1174262.4985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385421.37618000002</v>
      </c>
      <c r="D34" s="232">
        <f>IF(SUMIF(FaturasT!$I:$I,'Tributos suprimento'!$B34,FaturasT!AB:AB)=0,D33,SUMIF(FaturasT!$I:$I,'Tributos suprimento'!$B34,FaturasT!AB:AB))</f>
        <v>31330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378750.98355</v>
      </c>
      <c r="D35" s="232">
        <f>IF(SUMIF(FaturasT!$I:$I,'Tributos suprimento'!$B35,FaturasT!AB:AB)=0,D34,SUMIF(FaturasT!$I:$I,'Tributos suprimento'!$B35,FaturasT!AB:AB))</f>
        <v>31330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368043.17572</v>
      </c>
      <c r="D36" s="232">
        <f>IF(SUMIF(FaturasT!$I:$I,'Tributos suprimento'!$B36,FaturasT!AB:AB)=0,D35,SUMIF(FaturasT!$I:$I,'Tributos suprimento'!$B36,FaturasT!AB:AB))</f>
        <v>31330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366066.36667000002</v>
      </c>
      <c r="D37" s="232">
        <f>IF(SUMIF(FaturasT!$I:$I,'Tributos suprimento'!$B37,FaturasT!AB:AB)=0,D36,SUMIF(FaturasT!$I:$I,'Tributos suprimento'!$B37,FaturasT!AB:AB))</f>
        <v>31330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323828.49092999997</v>
      </c>
      <c r="D38" s="232">
        <f>IF(SUMIF(FaturasT!$I:$I,'Tributos suprimento'!$B38,FaturasT!AB:AB)=0,D37,SUMIF(FaturasT!$I:$I,'Tributos suprimento'!$B38,FaturasT!AB:AB))</f>
        <v>31330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323181.06495000003</v>
      </c>
      <c r="D39" s="232">
        <f>IF(SUMIF(FaturasT!$I:$I,'Tributos suprimento'!$B39,FaturasT!AB:AB)=0,D38,SUMIF(FaturasT!$I:$I,'Tributos suprimento'!$B39,FaturasT!AB:AB))</f>
        <v>31330</v>
      </c>
    </row>
    <row r="40" spans="2:8">
      <c r="B40" s="17" t="s">
        <v>767</v>
      </c>
      <c r="C40" s="751">
        <f>SUM(C28:C39)</f>
        <v>3839112.9197800001</v>
      </c>
      <c r="D40" s="751">
        <f>SUM(D28:D39)</f>
        <v>6108141.2323899996</v>
      </c>
    </row>
    <row r="41" spans="2:8">
      <c r="B41" s="1719" t="s">
        <v>2196</v>
      </c>
      <c r="C41" s="1720">
        <f>C40/($C$40+$D$40)</f>
        <v>0.38594700216265165</v>
      </c>
      <c r="D41" s="1720">
        <f>D40/($C$40+$D$40)</f>
        <v>0.61405299783734846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workbookViewId="0">
      <selection activeCell="J12" sqref="J12"/>
    </sheetView>
  </sheetViews>
  <sheetFormatPr defaultColWidth="9.140625" defaultRowHeight="12.75"/>
  <cols>
    <col min="1" max="1" width="3.7109375" style="1519" customWidth="1"/>
    <col min="2" max="2" width="11.42578125" style="1519" bestFit="1" customWidth="1"/>
    <col min="3" max="3" width="19.28515625" style="1519" customWidth="1"/>
    <col min="4" max="4" width="17.7109375" style="1519" customWidth="1"/>
    <col min="5" max="5" width="13.7109375" style="1519" customWidth="1"/>
    <col min="6" max="8" width="14.7109375" style="1519" customWidth="1"/>
    <col min="9" max="9" width="16.42578125" style="1519" customWidth="1"/>
    <col min="10" max="10" width="19.5703125" style="1519" customWidth="1"/>
    <col min="11" max="18" width="15.7109375" style="1519" customWidth="1"/>
    <col min="19" max="40" width="9" style="1519" customWidth="1"/>
    <col min="41" max="16384" width="9.140625" style="1519"/>
  </cols>
  <sheetData>
    <row r="1" spans="2:24" ht="14.1" customHeight="1"/>
    <row r="2" spans="2:24" ht="14.1" customHeight="1"/>
    <row r="3" spans="2:24" ht="42" customHeight="1">
      <c r="B3" s="1520" t="s">
        <v>2134</v>
      </c>
      <c r="C3" s="1521"/>
      <c r="D3" s="1522" t="s">
        <v>2135</v>
      </c>
      <c r="E3" s="1523" t="s">
        <v>2136</v>
      </c>
      <c r="F3" s="1521"/>
      <c r="G3" s="1522" t="s">
        <v>2137</v>
      </c>
      <c r="H3" s="1522" t="s">
        <v>2138</v>
      </c>
      <c r="I3" s="1522" t="s">
        <v>2139</v>
      </c>
      <c r="J3" s="1522" t="s">
        <v>2140</v>
      </c>
      <c r="K3" s="1522" t="s">
        <v>2141</v>
      </c>
      <c r="L3" s="1522" t="s">
        <v>2142</v>
      </c>
      <c r="M3" s="1522" t="s">
        <v>2143</v>
      </c>
      <c r="N3" s="1522" t="s">
        <v>2144</v>
      </c>
      <c r="O3" s="1522" t="s">
        <v>2145</v>
      </c>
      <c r="P3" s="1522" t="s">
        <v>2146</v>
      </c>
      <c r="Q3" s="1522" t="s">
        <v>2147</v>
      </c>
      <c r="R3" s="1524" t="s">
        <v>2148</v>
      </c>
    </row>
    <row r="4" spans="2:24" ht="14.1" customHeight="1">
      <c r="B4" s="1525" t="s">
        <v>2149</v>
      </c>
      <c r="C4" s="1525"/>
      <c r="D4" s="1525"/>
      <c r="E4" s="1526" t="s">
        <v>114</v>
      </c>
      <c r="F4" s="1527"/>
      <c r="G4" s="1525">
        <v>0</v>
      </c>
      <c r="H4" s="1528">
        <f>D4+G4</f>
        <v>0</v>
      </c>
      <c r="I4" s="1529">
        <f>+D6</f>
        <v>0</v>
      </c>
      <c r="J4" s="1529">
        <f>+F27</f>
        <v>0</v>
      </c>
      <c r="K4" s="1530"/>
      <c r="L4" s="1531">
        <f>K4*VLOOKUP(SAS_RA0_DataFim,Índices!$B$6:$F$50000,5,0)/VLOOKUP(DATE(YEAR(SAS_RA0_DataFim)-2,MONTH(CAPA!C15),1),Índices!$B$6:$F$50000,5,0)</f>
        <v>0</v>
      </c>
      <c r="M4" s="1525"/>
      <c r="N4" s="1529">
        <f>M4*VLOOKUP(SAS_RA0_DataFim,Índices!$B$6:$F$50000,5,0)/VLOOKUP(DATE(YEAR(SAS_RA0_DataFim)-1,MONTH(SAS_RA0_DataFim),1),Índices!$B$6:$F$50000,5,0)</f>
        <v>0</v>
      </c>
      <c r="O4" s="1529">
        <f>G27</f>
        <v>0</v>
      </c>
      <c r="P4" s="1529">
        <f>J4+L4+N4-O4</f>
        <v>0</v>
      </c>
      <c r="Q4" s="1529">
        <f>IF(I4*12&gt;(D4+K4+M4-P4),D4+K4+M4-P4,I4*12)</f>
        <v>0</v>
      </c>
      <c r="R4" s="1532">
        <f>P4+Q4</f>
        <v>0</v>
      </c>
    </row>
    <row r="5" spans="2:24" ht="14.1" customHeight="1"/>
    <row r="6" spans="2:24" ht="14.1" customHeight="1">
      <c r="B6" s="1533" t="s">
        <v>2150</v>
      </c>
      <c r="C6" s="1534"/>
      <c r="D6" s="1535"/>
      <c r="N6" s="1536"/>
    </row>
    <row r="7" spans="2:24" ht="14.1" customHeight="1"/>
    <row r="8" spans="2:24" ht="42" customHeight="1">
      <c r="B8" s="1520" t="s">
        <v>34</v>
      </c>
      <c r="C8" s="1522" t="s">
        <v>2151</v>
      </c>
      <c r="D8" s="1522" t="s">
        <v>2152</v>
      </c>
      <c r="E8" s="1522" t="s">
        <v>2153</v>
      </c>
      <c r="F8" s="1522" t="s">
        <v>2154</v>
      </c>
      <c r="G8" s="1522" t="s">
        <v>2155</v>
      </c>
      <c r="H8" s="1522" t="s">
        <v>2156</v>
      </c>
    </row>
    <row r="9" spans="2:24" ht="14.1" customHeight="1">
      <c r="B9" s="1537">
        <v>44197</v>
      </c>
      <c r="C9" s="1538"/>
      <c r="D9" s="1539"/>
      <c r="E9" s="1540"/>
      <c r="F9" s="1541">
        <f>C9*VLOOKUP(SAS_RA0_DataFim,Índices!$B$6:$F$50000,5,0)/VLOOKUP(DATE(YEAR($B9),MONTH($B9)-1,1),Índices!$B$6:$F$50000,5,0)</f>
        <v>0</v>
      </c>
      <c r="G9" s="1541">
        <f>D9*VLOOKUP(SAS_RA0_DataFim,Índices!$B$6:$F$50000,5,0)/VLOOKUP(DATE(YEAR($B9),MONTH($B9)-1,1),Índices!$B$6:$F$50000,5,0)</f>
        <v>0</v>
      </c>
      <c r="H9" s="1541">
        <f>E9*VLOOKUP(SAS_RA0_DataFim,Índices!$B$6:$F$50000,5,0)/VLOOKUP(DATE(YEAR($B9),MONTH($B9)-1,1),Índices!$B$6:$F$50000,5,0)</f>
        <v>0</v>
      </c>
    </row>
    <row r="10" spans="2:24" ht="14.1" customHeight="1">
      <c r="B10" s="1537">
        <v>44228</v>
      </c>
      <c r="C10" s="1542"/>
      <c r="D10" s="1539"/>
      <c r="E10" s="1543"/>
      <c r="F10" s="1544">
        <f>C10*VLOOKUP(SAS_RA0_DataFim,Índices!$B$6:$F$50000,5,0)/VLOOKUP(DATE(YEAR($B10),MONTH($B10)-1,1),Índices!$B$6:$F$50000,5,0)</f>
        <v>0</v>
      </c>
      <c r="G10" s="1544">
        <f>D10*VLOOKUP(SAS_RA0_DataFim,Índices!$B$6:$F$50000,5,0)/VLOOKUP(DATE(YEAR($B10),MONTH($B10)-1,1),Índices!$B$6:$F$50000,5,0)</f>
        <v>0</v>
      </c>
      <c r="H10" s="1544">
        <f>E10*VLOOKUP(SAS_RA0_DataFim,Índices!$B$6:$F$50000,5,0)/VLOOKUP(DATE(YEAR($B10),MONTH($B10)-1,1),Índices!$B$6:$F$50000,5,0)</f>
        <v>0</v>
      </c>
      <c r="X10" s="1545"/>
    </row>
    <row r="11" spans="2:24" ht="14.1" customHeight="1">
      <c r="B11" s="1537">
        <v>44256</v>
      </c>
      <c r="C11" s="1542"/>
      <c r="D11" s="1539"/>
      <c r="E11" s="1543"/>
      <c r="F11" s="1544">
        <f>C11*VLOOKUP(SAS_RA0_DataFim,Índices!$B$6:$F$50000,5,0)/VLOOKUP(DATE(YEAR($B11),MONTH($B11)-1,1),Índices!$B$6:$F$50000,5,0)</f>
        <v>0</v>
      </c>
      <c r="G11" s="1544">
        <f>D11*VLOOKUP(SAS_RA0_DataFim,Índices!$B$6:$F$50000,5,0)/VLOOKUP(DATE(YEAR($B11),MONTH($B11)-1,1),Índices!$B$6:$F$50000,5,0)</f>
        <v>0</v>
      </c>
      <c r="H11" s="1544">
        <f>E11*VLOOKUP(SAS_RA0_DataFim,Índices!$B$6:$F$50000,5,0)/VLOOKUP(DATE(YEAR($B11),MONTH($B11)-1,1),Índices!$B$6:$F$50000,5,0)</f>
        <v>0</v>
      </c>
    </row>
    <row r="12" spans="2:24" ht="14.1" customHeight="1">
      <c r="B12" s="1537">
        <v>44287</v>
      </c>
      <c r="C12" s="1542"/>
      <c r="D12" s="1539"/>
      <c r="E12" s="1543"/>
      <c r="F12" s="1544">
        <f>C12*VLOOKUP(SAS_RA0_DataFim,Índices!$B$6:$F$50000,5,0)/VLOOKUP(DATE(YEAR($B12),MONTH($B12)-1,1),Índices!$B$6:$F$50000,5,0)</f>
        <v>0</v>
      </c>
      <c r="G12" s="1544">
        <f>D12*VLOOKUP(SAS_RA0_DataFim,Índices!$B$6:$F$50000,5,0)/VLOOKUP(DATE(YEAR($B12),MONTH($B12)-1,1),Índices!$B$6:$F$50000,5,0)</f>
        <v>0</v>
      </c>
      <c r="H12" s="1544">
        <f>E12*VLOOKUP(SAS_RA0_DataFim,Índices!$B$6:$F$50000,5,0)/VLOOKUP(DATE(YEAR($B12),MONTH($B12)-1,1),Índices!$B$6:$F$50000,5,0)</f>
        <v>0</v>
      </c>
    </row>
    <row r="13" spans="2:24" ht="14.1" customHeight="1">
      <c r="B13" s="1537">
        <v>44317</v>
      </c>
      <c r="C13" s="1543"/>
      <c r="D13" s="1546"/>
      <c r="E13" s="1543"/>
      <c r="F13" s="1544">
        <f>C13*VLOOKUP(SAS_RA0_DataFim,Índices!$B$6:$F$50000,5,0)/VLOOKUP(DATE(YEAR($B13),MONTH($B13)-1,1),Índices!$B$6:$F$50000,5,0)</f>
        <v>0</v>
      </c>
      <c r="G13" s="1544">
        <f>D13*VLOOKUP(SAS_RA0_DataFim,Índices!$B$6:$F$50000,5,0)/VLOOKUP(DATE(YEAR($B13),MONTH($B13)-1,1),Índices!$B$6:$F$50000,5,0)</f>
        <v>0</v>
      </c>
      <c r="H13" s="1544">
        <f>E13*VLOOKUP(SAS_RA0_DataFim,Índices!$B$6:$F$50000,5,0)/VLOOKUP(DATE(YEAR($B13),MONTH($B13)-1,1),Índices!$B$6:$F$50000,5,0)</f>
        <v>0</v>
      </c>
    </row>
    <row r="14" spans="2:24" ht="14.1" customHeight="1">
      <c r="B14" s="1537">
        <v>44348</v>
      </c>
      <c r="C14" s="1547"/>
      <c r="D14" s="1546"/>
      <c r="E14" s="1543"/>
      <c r="F14" s="1544">
        <f>C14*VLOOKUP(SAS_RA0_DataFim,Índices!$B$6:$F$50000,5,0)/VLOOKUP(DATE(YEAR($B14),MONTH($B14)-1,1),Índices!$B$6:$F$50000,5,0)</f>
        <v>0</v>
      </c>
      <c r="G14" s="1544">
        <f>D14*VLOOKUP(SAS_RA0_DataFim,Índices!$B$6:$F$50000,5,0)/VLOOKUP(DATE(YEAR($B14),MONTH($B14)-1,1),Índices!$B$6:$F$50000,5,0)</f>
        <v>0</v>
      </c>
      <c r="H14" s="1544">
        <f>E14*VLOOKUP(SAS_RA0_DataFim,Índices!$B$6:$F$50000,5,0)/VLOOKUP(DATE(YEAR($B14),MONTH($B14)-1,1),Índices!$B$6:$F$50000,5,0)</f>
        <v>0</v>
      </c>
    </row>
    <row r="15" spans="2:24" ht="14.1" customHeight="1">
      <c r="B15" s="1537">
        <v>44378</v>
      </c>
      <c r="C15" s="1547"/>
      <c r="D15" s="1546"/>
      <c r="E15" s="1543"/>
      <c r="F15" s="1544">
        <f>C15*VLOOKUP(SAS_RA0_DataFim,Índices!$B$6:$F$50000,5,0)/VLOOKUP(DATE(YEAR($B15),MONTH($B15)-1,1),Índices!$B$6:$F$50000,5,0)</f>
        <v>0</v>
      </c>
      <c r="G15" s="1544">
        <f>D15*VLOOKUP(SAS_RA0_DataFim,Índices!$B$6:$F$50000,5,0)/VLOOKUP(DATE(YEAR($B15),MONTH($B15)-1,1),Índices!$B$6:$F$50000,5,0)</f>
        <v>0</v>
      </c>
      <c r="H15" s="1544">
        <f>E15*VLOOKUP(SAS_RA0_DataFim,Índices!$B$6:$F$50000,5,0)/VLOOKUP(DATE(YEAR($B15),MONTH($B15)-1,1),Índices!$B$6:$F$50000,5,0)</f>
        <v>0</v>
      </c>
    </row>
    <row r="16" spans="2:24" ht="14.1" customHeight="1">
      <c r="B16" s="1537">
        <v>44409</v>
      </c>
      <c r="C16" s="1547"/>
      <c r="D16" s="1546"/>
      <c r="E16" s="1543"/>
      <c r="F16" s="1544">
        <f>C16*VLOOKUP(SAS_RA0_DataFim,Índices!$B$6:$F$50000,5,0)/VLOOKUP(DATE(YEAR($B16),MONTH($B16)-1,1),Índices!$B$6:$F$50000,5,0)</f>
        <v>0</v>
      </c>
      <c r="G16" s="1544">
        <f>D16*VLOOKUP(SAS_RA0_DataFim,Índices!$B$6:$F$50000,5,0)/VLOOKUP(DATE(YEAR($B16),MONTH($B16)-1,1),Índices!$B$6:$F$50000,5,0)</f>
        <v>0</v>
      </c>
      <c r="H16" s="1544">
        <f>E16*VLOOKUP(SAS_RA0_DataFim,Índices!$B$6:$F$50000,5,0)/VLOOKUP(DATE(YEAR($B16),MONTH($B16)-1,1),Índices!$B$6:$F$50000,5,0)</f>
        <v>0</v>
      </c>
    </row>
    <row r="17" spans="2:8" ht="14.1" customHeight="1">
      <c r="B17" s="1537">
        <v>44440</v>
      </c>
      <c r="C17" s="1547"/>
      <c r="D17" s="1546"/>
      <c r="E17" s="1543"/>
      <c r="F17" s="1544">
        <f>C17*VLOOKUP(SAS_RA0_DataFim,Índices!$B$6:$F$50000,5,0)/VLOOKUP(DATE(YEAR($B17),MONTH($B17)-1,1),Índices!$B$6:$F$50000,5,0)</f>
        <v>0</v>
      </c>
      <c r="G17" s="1544">
        <f>D17*VLOOKUP(SAS_RA0_DataFim,Índices!$B$6:$F$50000,5,0)/VLOOKUP(DATE(YEAR($B17),MONTH($B17)-1,1),Índices!$B$6:$F$50000,5,0)</f>
        <v>0</v>
      </c>
      <c r="H17" s="1544">
        <f>E17*VLOOKUP(SAS_RA0_DataFim,Índices!$B$6:$F$50000,5,0)/VLOOKUP(DATE(YEAR($B17),MONTH($B17)-1,1),Índices!$B$6:$F$50000,5,0)</f>
        <v>0</v>
      </c>
    </row>
    <row r="18" spans="2:8" ht="14.1" customHeight="1">
      <c r="B18" s="1537">
        <v>44470</v>
      </c>
      <c r="C18" s="1547"/>
      <c r="D18" s="1546"/>
      <c r="E18" s="1543"/>
      <c r="F18" s="1544">
        <f>C18*VLOOKUP(SAS_RA0_DataFim,Índices!$B$6:$F$50000,5,0)/VLOOKUP(DATE(YEAR($B18),MONTH($B18)-1,1),Índices!$B$6:$F$50000,5,0)</f>
        <v>0</v>
      </c>
      <c r="G18" s="1544">
        <f>D18*VLOOKUP(SAS_RA0_DataFim,Índices!$B$6:$F$50000,5,0)/VLOOKUP(DATE(YEAR($B18),MONTH($B18)-1,1),Índices!$B$6:$F$50000,5,0)</f>
        <v>0</v>
      </c>
      <c r="H18" s="1544">
        <f>E18*VLOOKUP(SAS_RA0_DataFim,Índices!$B$6:$F$50000,5,0)/VLOOKUP(DATE(YEAR($B18),MONTH($B18)-1,1),Índices!$B$6:$F$50000,5,0)</f>
        <v>0</v>
      </c>
    </row>
    <row r="19" spans="2:8" ht="14.1" customHeight="1">
      <c r="B19" s="1537">
        <v>44501</v>
      </c>
      <c r="C19" s="1547"/>
      <c r="D19" s="1546"/>
      <c r="E19" s="1543"/>
      <c r="F19" s="1544">
        <f>C19*VLOOKUP(SAS_RA0_DataFim,Índices!$B$6:$F$50000,5,0)/VLOOKUP(DATE(YEAR($B19),MONTH($B19)-1,1),Índices!$B$6:$F$50000,5,0)</f>
        <v>0</v>
      </c>
      <c r="G19" s="1544">
        <f>D19*VLOOKUP(SAS_RA0_DataFim,Índices!$B$6:$F$50000,5,0)/VLOOKUP(DATE(YEAR($B19),MONTH($B19)-1,1),Índices!$B$6:$F$50000,5,0)</f>
        <v>0</v>
      </c>
      <c r="H19" s="1544">
        <f>E19*VLOOKUP(SAS_RA0_DataFim,Índices!$B$6:$F$50000,5,0)/VLOOKUP(DATE(YEAR($B19),MONTH($B19)-1,1),Índices!$B$6:$F$50000,5,0)</f>
        <v>0</v>
      </c>
    </row>
    <row r="20" spans="2:8" ht="14.1" customHeight="1">
      <c r="B20" s="1537">
        <v>44531</v>
      </c>
      <c r="C20" s="1547"/>
      <c r="D20" s="1546"/>
      <c r="E20" s="1543"/>
      <c r="F20" s="1544">
        <f>C20*VLOOKUP(SAS_RA0_DataFim,Índices!$B$6:$F$50000,5,0)/VLOOKUP(DATE(YEAR($B20),MONTH($B20)-1,1),Índices!$B$6:$F$50000,5,0)</f>
        <v>0</v>
      </c>
      <c r="G20" s="1544">
        <f>D20*VLOOKUP(SAS_RA0_DataFim,Índices!$B$6:$F$50000,5,0)/VLOOKUP(DATE(YEAR($B20),MONTH($B20)-1,1),Índices!$B$6:$F$50000,5,0)</f>
        <v>0</v>
      </c>
      <c r="H20" s="1544">
        <f>E20*VLOOKUP(SAS_RA0_DataFim,Índices!$B$6:$F$50000,5,0)/VLOOKUP(DATE(YEAR($B20),MONTH($B20)-1,1),Índices!$B$6:$F$50000,5,0)</f>
        <v>0</v>
      </c>
    </row>
    <row r="21" spans="2:8" ht="14.1" customHeight="1">
      <c r="B21" s="1537">
        <v>44562</v>
      </c>
      <c r="C21" s="1547"/>
      <c r="D21" s="1546"/>
      <c r="E21" s="1543"/>
      <c r="F21" s="1544">
        <f>C21*VLOOKUP(SAS_RA0_DataFim,Índices!$B$6:$F$50000,5,0)/VLOOKUP(DATE(YEAR($B21),MONTH($B21)-1,1),Índices!$B$6:$F$50000,5,0)</f>
        <v>0</v>
      </c>
      <c r="G21" s="1544">
        <f>D21*VLOOKUP(SAS_RA0_DataFim,Índices!$B$6:$F$50000,5,0)/VLOOKUP(DATE(YEAR($B21),MONTH($B21)-1,1),Índices!$B$6:$F$50000,5,0)</f>
        <v>0</v>
      </c>
      <c r="H21" s="1544">
        <f>E21*VLOOKUP(SAS_RA0_DataFim,Índices!$B$6:$F$50000,5,0)/VLOOKUP(DATE(YEAR($B21),MONTH($B21)-1,1),Índices!$B$6:$F$50000,5,0)</f>
        <v>0</v>
      </c>
    </row>
    <row r="22" spans="2:8" ht="14.1" customHeight="1">
      <c r="B22" s="1537">
        <v>44593</v>
      </c>
      <c r="C22" s="1547"/>
      <c r="D22" s="1546"/>
      <c r="E22" s="1543"/>
      <c r="F22" s="1544">
        <f>C22*VLOOKUP(SAS_RA0_DataFim,Índices!$B$6:$F$50000,5,0)/VLOOKUP(DATE(YEAR($B22),MONTH($B22)-1,1),Índices!$B$6:$F$50000,5,0)</f>
        <v>0</v>
      </c>
      <c r="G22" s="1544">
        <f>D22*VLOOKUP(SAS_RA0_DataFim,Índices!$B$6:$F$50000,5,0)/VLOOKUP(DATE(YEAR($B22),MONTH($B22)-1,1),Índices!$B$6:$F$50000,5,0)</f>
        <v>0</v>
      </c>
      <c r="H22" s="1544">
        <f>E22*VLOOKUP(SAS_RA0_DataFim,Índices!$B$6:$F$50000,5,0)/VLOOKUP(DATE(YEAR($B22),MONTH($B22)-1,1),Índices!$B$6:$F$50000,5,0)</f>
        <v>0</v>
      </c>
    </row>
    <row r="23" spans="2:8" ht="14.1" customHeight="1">
      <c r="B23" s="1537">
        <v>44621</v>
      </c>
      <c r="C23" s="1547"/>
      <c r="D23" s="1546"/>
      <c r="E23" s="1543"/>
      <c r="F23" s="1544">
        <f>C23*VLOOKUP(SAS_RA0_DataFim,Índices!$B$6:$F$50000,5,0)/VLOOKUP(DATE(YEAR($B23),MONTH($B23)-1,1),Índices!$B$6:$F$50000,5,0)</f>
        <v>0</v>
      </c>
      <c r="G23" s="1544">
        <f>D23*VLOOKUP(SAS_RA0_DataFim,Índices!$B$6:$F$50000,5,0)/VLOOKUP(DATE(YEAR($B23),MONTH($B23)-1,1),Índices!$B$6:$F$50000,5,0)</f>
        <v>0</v>
      </c>
      <c r="H23" s="1544">
        <f>E23*VLOOKUP(SAS_RA0_DataFim,Índices!$B$6:$F$50000,5,0)/VLOOKUP(DATE(YEAR($B23),MONTH($B23)-1,1),Índices!$B$6:$F$50000,5,0)</f>
        <v>0</v>
      </c>
    </row>
    <row r="24" spans="2:8" ht="14.1" customHeight="1">
      <c r="B24" s="1537">
        <v>44652</v>
      </c>
      <c r="C24" s="1547"/>
      <c r="D24" s="1546"/>
      <c r="E24" s="1543"/>
      <c r="F24" s="1544">
        <f>C24*VLOOKUP(SAS_RA0_DataFim,Índices!$B$6:$F$50000,5,0)/VLOOKUP(DATE(YEAR($B24),MONTH($B24)-1,1),Índices!$B$6:$F$50000,5,0)</f>
        <v>0</v>
      </c>
      <c r="G24" s="1544">
        <f>D24*VLOOKUP(SAS_RA0_DataFim,Índices!$B$6:$F$50000,5,0)/VLOOKUP(DATE(YEAR($B24),MONTH($B24)-1,1),Índices!$B$6:$F$50000,5,0)</f>
        <v>0</v>
      </c>
      <c r="H24" s="1544">
        <f>E24*VLOOKUP(SAS_RA0_DataFim,Índices!$B$6:$F$50000,5,0)/VLOOKUP(DATE(YEAR($B24),MONTH($B24)-1,1),Índices!$B$6:$F$50000,5,0)</f>
        <v>0</v>
      </c>
    </row>
    <row r="25" spans="2:8" ht="14.1" customHeight="1">
      <c r="B25" s="1537">
        <v>44682</v>
      </c>
      <c r="C25" s="1547"/>
      <c r="D25" s="1546"/>
      <c r="E25" s="1543"/>
      <c r="F25" s="1544">
        <f>C25*VLOOKUP(SAS_RA0_DataFim,Índices!$B$6:$F$50000,5,0)/VLOOKUP(DATE(YEAR($B25),MONTH($B25)-1,1),Índices!$B$6:$F$50000,5,0)</f>
        <v>0</v>
      </c>
      <c r="G25" s="1544">
        <f>D25*VLOOKUP(SAS_RA0_DataFim,Índices!$B$6:$F$50000,5,0)/VLOOKUP(DATE(YEAR($B25),MONTH($B25)-1,1),Índices!$B$6:$F$50000,5,0)</f>
        <v>0</v>
      </c>
      <c r="H25" s="1544">
        <f>E25*VLOOKUP(SAS_RA0_DataFim,Índices!$B$6:$F$50000,5,0)/VLOOKUP(DATE(YEAR($B25),MONTH($B25)-1,1),Índices!$B$6:$F$50000,5,0)</f>
        <v>0</v>
      </c>
    </row>
    <row r="26" spans="2:8" ht="14.1" customHeight="1">
      <c r="B26" s="1537">
        <v>44713</v>
      </c>
      <c r="C26" s="1547"/>
      <c r="D26" s="1546"/>
      <c r="E26" s="1543"/>
      <c r="F26" s="1544">
        <f>C26*VLOOKUP(SAS_RA0_DataFim,Índices!$B$6:$F$50000,5,0)/VLOOKUP(DATE(YEAR($B26),MONTH($B26)-1,1),Índices!$B$6:$F$50000,5,0)</f>
        <v>0</v>
      </c>
      <c r="G26" s="1544">
        <f>D26*VLOOKUP(SAS_RA0_DataFim,Índices!$B$6:$F$50000,5,0)/VLOOKUP(DATE(YEAR($B26),MONTH($B26)-1,1),Índices!$B$6:$F$50000,5,0)</f>
        <v>0</v>
      </c>
      <c r="H26" s="1544">
        <f>E26*VLOOKUP(SAS_RA0_DataFim,Índices!$B$6:$F$50000,5,0)/VLOOKUP(DATE(YEAR($B26),MONTH($B26)-1,1),Índices!$B$6:$F$50000,5,0)</f>
        <v>0</v>
      </c>
    </row>
    <row r="27" spans="2:8" ht="14.1" customHeight="1">
      <c r="B27" s="1548" t="s">
        <v>758</v>
      </c>
      <c r="C27" s="1549">
        <f>SUM(C9:C26)</f>
        <v>0</v>
      </c>
      <c r="D27" s="1549">
        <f t="shared" ref="D27:E27" si="0">SUM(D9:D26)</f>
        <v>0</v>
      </c>
      <c r="E27" s="1549">
        <f t="shared" si="0"/>
        <v>0</v>
      </c>
      <c r="F27" s="1549">
        <f>SUM(F9:F26)</f>
        <v>0</v>
      </c>
      <c r="G27" s="1549">
        <f t="shared" ref="G27:H27" si="1">SUM(G9:G26)</f>
        <v>0</v>
      </c>
      <c r="H27" s="1549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D13" sqref="D13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5" t="s">
        <v>2131</v>
      </c>
    </row>
    <row r="4" spans="1:15">
      <c r="B4" s="1477" t="s">
        <v>2120</v>
      </c>
      <c r="C4" s="1479" t="s">
        <v>2121</v>
      </c>
      <c r="D4" s="1478" t="s">
        <v>2122</v>
      </c>
      <c r="E4" s="1483"/>
      <c r="F4" s="1483"/>
      <c r="G4" s="1483"/>
      <c r="N4" t="s">
        <v>34</v>
      </c>
      <c r="O4" t="s">
        <v>2123</v>
      </c>
    </row>
    <row r="5" spans="1:15">
      <c r="A5" s="797" t="s">
        <v>2072</v>
      </c>
      <c r="B5" s="846" t="s">
        <v>2129</v>
      </c>
      <c r="C5" s="1486">
        <f>IFERROR(VLOOKUP(A5,Escassez[#All],2,FALSE),0)</f>
        <v>0</v>
      </c>
      <c r="D5" s="1486" t="e">
        <f>C5/$C$8*$D$8</f>
        <v>#DIV/0!</v>
      </c>
      <c r="E5" s="1484"/>
      <c r="F5" s="1482"/>
      <c r="G5" s="1473"/>
      <c r="N5" s="8">
        <v>44690</v>
      </c>
      <c r="O5" s="232">
        <f>C8</f>
        <v>0</v>
      </c>
    </row>
    <row r="6" spans="1:15">
      <c r="A6" s="1461" t="s">
        <v>2073</v>
      </c>
      <c r="B6" s="846" t="s">
        <v>2130</v>
      </c>
      <c r="C6" s="1486">
        <f>IFERROR(VLOOKUP(A6,Escassez[#All],2,FALSE),0)</f>
        <v>0</v>
      </c>
      <c r="D6" s="1486" t="e">
        <f>C6/$C$8*$D$8</f>
        <v>#DIV/0!</v>
      </c>
      <c r="E6" s="1484"/>
      <c r="F6" s="1749" t="s">
        <v>2393</v>
      </c>
      <c r="G6" s="1473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1" t="s">
        <v>2074</v>
      </c>
      <c r="B7" s="846" t="s">
        <v>105</v>
      </c>
      <c r="C7" s="1486">
        <f>IFERROR(VLOOKUP(A7,Escassez[#All],2,FALSE),0)</f>
        <v>0</v>
      </c>
      <c r="D7" s="1486" t="e">
        <f>C7/$C$8*$D$8</f>
        <v>#DIV/0!</v>
      </c>
      <c r="E7" s="1484"/>
      <c r="F7" s="1482"/>
      <c r="G7" s="1473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0"/>
      <c r="C8" s="1487">
        <f>SUM(C5:C7)</f>
        <v>0</v>
      </c>
      <c r="D8" s="1487">
        <f>VLOOKUP(DataRevRea,'Financeiros Mitigação'!N4:O241,2,FALSE)</f>
        <v>0</v>
      </c>
      <c r="E8" s="846"/>
      <c r="F8" s="1474"/>
      <c r="G8" s="1474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2"/>
      <c r="C10" s="1492"/>
      <c r="D10" s="1492"/>
      <c r="E10" s="1492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88" t="s">
        <v>1304</v>
      </c>
      <c r="C12" s="1481">
        <v>44774</v>
      </c>
      <c r="D12" s="1489">
        <v>-4199.08</v>
      </c>
      <c r="E12" s="1471"/>
      <c r="F12" s="1471"/>
      <c r="G12" s="1471"/>
      <c r="H12" s="1471"/>
      <c r="I12" s="1471"/>
      <c r="J12" s="1471"/>
      <c r="K12" s="1471"/>
      <c r="L12" s="1471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0"/>
      <c r="C13" s="1472"/>
      <c r="D13" s="1472"/>
      <c r="E13" s="1472"/>
      <c r="F13" s="1472"/>
      <c r="G13" s="1472"/>
      <c r="H13" s="1472"/>
      <c r="I13" s="1472"/>
      <c r="J13" s="1472"/>
      <c r="K13" s="1472"/>
      <c r="L13" s="1472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1"/>
      <c r="C14" s="1492"/>
      <c r="D14" s="1492"/>
      <c r="E14" s="1493"/>
      <c r="F14" s="1494"/>
      <c r="G14" s="1473"/>
      <c r="H14" s="1473"/>
      <c r="I14" s="1473"/>
      <c r="J14" s="1473"/>
      <c r="K14" s="1473"/>
      <c r="L14" s="1473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1"/>
      <c r="C15" s="1492"/>
      <c r="D15" s="1492"/>
      <c r="E15" s="1493"/>
      <c r="F15" s="1494"/>
      <c r="G15" s="1473"/>
      <c r="H15" s="1473"/>
      <c r="I15" s="1473"/>
      <c r="J15" s="1473"/>
      <c r="K15" s="1473"/>
      <c r="L15" s="1473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1"/>
      <c r="C16" s="1492"/>
      <c r="D16" s="1492"/>
      <c r="E16" s="1493"/>
      <c r="F16" s="1494"/>
      <c r="G16" s="1473"/>
      <c r="H16" s="1473"/>
      <c r="I16" s="1473"/>
      <c r="J16" s="1473"/>
      <c r="K16" s="1473"/>
      <c r="L16" s="1473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1"/>
      <c r="C17" s="1492"/>
      <c r="D17" s="1492"/>
      <c r="E17" s="1493"/>
      <c r="F17" s="1494"/>
      <c r="G17" s="1473"/>
      <c r="H17" s="1473"/>
      <c r="I17" s="1473"/>
      <c r="J17" s="1473"/>
      <c r="K17" s="1473"/>
      <c r="L17" s="1473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1"/>
      <c r="C18" s="1492"/>
      <c r="D18" s="1492"/>
      <c r="E18" s="1493"/>
      <c r="F18" s="1494"/>
      <c r="G18" s="1473"/>
      <c r="H18" s="1473"/>
      <c r="I18" s="1473"/>
      <c r="J18" s="1473"/>
      <c r="K18" s="1473"/>
      <c r="L18" s="1473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1"/>
      <c r="C19" s="1492"/>
      <c r="D19" s="1492"/>
      <c r="E19" s="1492"/>
      <c r="F19" s="1494"/>
      <c r="G19" s="1473"/>
      <c r="H19" s="1473"/>
      <c r="I19" s="1473"/>
      <c r="J19" s="1473"/>
      <c r="K19" s="1473"/>
      <c r="L19" s="1473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1"/>
      <c r="C20" s="1492"/>
      <c r="D20" s="1492"/>
      <c r="E20" s="1492"/>
      <c r="F20" s="1494"/>
      <c r="G20" s="1473"/>
      <c r="H20" s="1473"/>
      <c r="I20" s="1473"/>
      <c r="J20" s="1473"/>
      <c r="K20" s="1473"/>
      <c r="L20" s="1473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1"/>
      <c r="C21" s="1492"/>
      <c r="D21" s="1492"/>
      <c r="E21" s="1492"/>
      <c r="F21" s="1494"/>
      <c r="G21" s="1473"/>
      <c r="H21" s="1473"/>
      <c r="I21" s="1473"/>
      <c r="J21" s="1473"/>
      <c r="K21" s="1473"/>
      <c r="L21" s="1473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1"/>
      <c r="C22" s="1492"/>
      <c r="D22" s="1492"/>
      <c r="E22" s="1492"/>
      <c r="F22" s="1494"/>
      <c r="G22" s="1473"/>
      <c r="H22" s="1473"/>
      <c r="I22" s="1473"/>
      <c r="J22" s="1473"/>
      <c r="K22" s="1473"/>
      <c r="L22" s="1473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1"/>
      <c r="C23" s="1492"/>
      <c r="D23" s="1492"/>
      <c r="E23" s="1492"/>
      <c r="F23" s="1494"/>
      <c r="G23" s="1473"/>
      <c r="H23" s="1473"/>
      <c r="I23" s="1473"/>
      <c r="J23" s="1473"/>
      <c r="K23" s="1473"/>
      <c r="L23" s="1473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1"/>
      <c r="C24" s="1492"/>
      <c r="D24" s="1492"/>
      <c r="E24" s="1492"/>
      <c r="F24" s="1494"/>
      <c r="G24" s="1473"/>
      <c r="H24" s="1473"/>
      <c r="I24" s="1473"/>
      <c r="J24" s="1473"/>
      <c r="K24" s="1473"/>
      <c r="L24" s="1473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5"/>
      <c r="C25" s="1492"/>
      <c r="D25" s="1492"/>
      <c r="E25" s="1496"/>
      <c r="F25" s="1494"/>
      <c r="G25" s="1473"/>
      <c r="H25" s="1473"/>
      <c r="I25" s="1473"/>
      <c r="J25" s="1473"/>
      <c r="K25" s="1473"/>
      <c r="L25" s="1473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497"/>
      <c r="C26" s="846"/>
      <c r="D26" s="846"/>
      <c r="E26" s="846"/>
      <c r="F26" s="1474"/>
      <c r="G26" s="1474"/>
      <c r="H26" s="1474"/>
      <c r="I26" s="1474"/>
      <c r="J26" s="1474"/>
      <c r="K26" s="1474"/>
      <c r="L26" s="1474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E24" sqref="E24"/>
    </sheetView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1306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3" t="s">
        <v>872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2133</v>
      </c>
      <c r="C7" s="871"/>
      <c r="D7" s="874"/>
      <c r="E7" s="874"/>
      <c r="F7" s="875"/>
      <c r="G7" s="870"/>
      <c r="H7" s="870"/>
      <c r="I7" s="870"/>
      <c r="J7" s="870"/>
      <c r="K7" s="870"/>
      <c r="R7" s="1313" t="s">
        <v>872</v>
      </c>
    </row>
    <row r="8" spans="1:18" ht="27.95" customHeight="1">
      <c r="B8" s="876" t="s">
        <v>776</v>
      </c>
      <c r="C8" s="876" t="s">
        <v>1307</v>
      </c>
      <c r="D8" s="876" t="s">
        <v>1308</v>
      </c>
      <c r="E8" s="1510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4" t="s">
        <v>1309</v>
      </c>
      <c r="C9" s="1315"/>
      <c r="D9" s="1315"/>
      <c r="E9" s="1517"/>
      <c r="F9" s="862"/>
      <c r="G9" s="436"/>
      <c r="H9" s="1316" t="s">
        <v>1310</v>
      </c>
      <c r="I9" s="1560">
        <v>-212450.83619999999</v>
      </c>
      <c r="R9" s="1313" t="s">
        <v>872</v>
      </c>
    </row>
    <row r="10" spans="1:18" ht="14.45" customHeight="1">
      <c r="B10" s="878" t="s">
        <v>41</v>
      </c>
      <c r="C10" s="879"/>
      <c r="D10" s="879"/>
      <c r="E10" s="1517"/>
      <c r="F10" s="862"/>
      <c r="G10" s="436"/>
      <c r="H10" s="880" t="s">
        <v>1311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1312</v>
      </c>
      <c r="C11" s="879"/>
      <c r="D11" s="879"/>
      <c r="E11" s="1517"/>
      <c r="F11" s="862"/>
      <c r="G11" s="862"/>
      <c r="H11" s="880" t="s">
        <v>1313</v>
      </c>
      <c r="I11" s="1559"/>
      <c r="R11" s="1313" t="s">
        <v>872</v>
      </c>
    </row>
    <row r="12" spans="1:18" ht="14.45" customHeight="1">
      <c r="B12" s="878" t="s">
        <v>635</v>
      </c>
      <c r="C12" s="879"/>
      <c r="D12" s="879"/>
      <c r="E12" s="1517"/>
      <c r="F12" s="862"/>
      <c r="G12" s="436"/>
      <c r="H12" s="880" t="s">
        <v>1314</v>
      </c>
      <c r="I12" s="1559"/>
      <c r="R12" s="890" t="e">
        <f>DATE(YEAR(R14),MONTH(R14)-1,1)</f>
        <v>#NUM!</v>
      </c>
    </row>
    <row r="13" spans="1:18" ht="14.45" customHeight="1">
      <c r="B13" s="878" t="s">
        <v>1315</v>
      </c>
      <c r="C13" s="879">
        <v>-59000.945899999999</v>
      </c>
      <c r="D13" s="879">
        <v>-11325.5455</v>
      </c>
      <c r="E13" s="1517"/>
      <c r="F13" s="862"/>
      <c r="G13" s="436"/>
      <c r="H13" s="880" t="s">
        <v>1316</v>
      </c>
      <c r="I13" s="1317"/>
      <c r="R13" s="1313" t="s">
        <v>872</v>
      </c>
    </row>
    <row r="14" spans="1:18" ht="14.45" customHeight="1">
      <c r="B14" s="878" t="s">
        <v>112</v>
      </c>
      <c r="C14" s="879"/>
      <c r="D14" s="879"/>
      <c r="E14" s="1517"/>
      <c r="F14" s="862"/>
      <c r="G14" s="436"/>
      <c r="H14" s="1316" t="s">
        <v>1317</v>
      </c>
      <c r="I14" s="1561">
        <v>499004.43367224903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1318</v>
      </c>
      <c r="C15" s="879"/>
      <c r="D15" s="879"/>
      <c r="E15" s="1517"/>
      <c r="F15" s="862"/>
      <c r="G15" s="436"/>
      <c r="H15" s="1318" t="s">
        <v>1319</v>
      </c>
      <c r="I15" s="1319">
        <f>-Indexador!$N$49</f>
        <v>-530121.38492414192</v>
      </c>
      <c r="J15" s="862"/>
      <c r="K15" s="862"/>
      <c r="R15" s="1313" t="s">
        <v>872</v>
      </c>
    </row>
    <row r="16" spans="1:18" ht="14.45" customHeight="1">
      <c r="B16" s="878" t="s">
        <v>109</v>
      </c>
      <c r="C16" s="879"/>
      <c r="D16" s="879"/>
      <c r="E16" s="1517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>
        <v>146645.77249999999</v>
      </c>
      <c r="D17" s="879">
        <v>152472.49830000001</v>
      </c>
      <c r="E17" s="1517"/>
      <c r="F17" s="862"/>
      <c r="G17" s="436"/>
      <c r="H17" s="862"/>
      <c r="I17" s="862"/>
      <c r="J17" s="862"/>
      <c r="K17" s="862"/>
      <c r="R17" s="1313" t="s">
        <v>872</v>
      </c>
    </row>
    <row r="18" spans="1:18" ht="14.45" customHeight="1">
      <c r="B18" s="882" t="s">
        <v>767</v>
      </c>
      <c r="C18" s="883">
        <f>SUM(C9:C17)</f>
        <v>87644.8266</v>
      </c>
      <c r="D18" s="883">
        <f t="shared" ref="D18" si="0">SUM(D9:D17)</f>
        <v>141146.9528</v>
      </c>
      <c r="E18" s="1518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3" t="s">
        <v>872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02"/>
      <c r="B21" s="1503"/>
      <c r="C21" s="1770"/>
      <c r="D21" s="1770"/>
      <c r="E21" s="1504"/>
      <c r="F21" s="1503"/>
      <c r="G21" s="1503"/>
      <c r="H21" s="1505"/>
      <c r="R21" s="1313" t="s">
        <v>872</v>
      </c>
    </row>
    <row r="22" spans="1:18" ht="14.45" customHeight="1">
      <c r="A22" s="1506"/>
      <c r="B22" s="1507"/>
      <c r="C22" s="1508"/>
      <c r="D22" s="1508"/>
      <c r="E22" s="1508"/>
      <c r="F22" s="1509"/>
      <c r="G22" s="1509"/>
      <c r="H22" s="1506"/>
      <c r="R22" s="890" t="e">
        <f>DATE(YEAR(R24),MONTH(R24)-1,1)</f>
        <v>#NUM!</v>
      </c>
    </row>
    <row r="23" spans="1:18" ht="42" customHeight="1">
      <c r="A23" s="1506"/>
      <c r="B23" s="1510"/>
      <c r="C23" s="1510"/>
      <c r="D23" s="1510"/>
      <c r="E23" s="1510"/>
      <c r="F23" s="1510"/>
      <c r="G23" s="1510"/>
      <c r="H23" s="1506"/>
      <c r="R23" s="1313" t="s">
        <v>872</v>
      </c>
    </row>
    <row r="24" spans="1:18" ht="14.45" customHeight="1">
      <c r="A24" s="1506"/>
      <c r="B24" s="878"/>
      <c r="C24" s="885"/>
      <c r="D24" s="1498"/>
      <c r="E24" s="885"/>
      <c r="F24" s="886"/>
      <c r="G24" s="886"/>
      <c r="H24" s="1511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06"/>
      <c r="B25" s="878"/>
      <c r="C25" s="885"/>
      <c r="D25" s="1499"/>
      <c r="E25" s="885"/>
      <c r="F25" s="886"/>
      <c r="G25" s="893"/>
      <c r="H25" s="1511"/>
      <c r="I25" s="884"/>
      <c r="J25" s="884"/>
      <c r="K25" s="877"/>
      <c r="R25" s="1313" t="s">
        <v>872</v>
      </c>
    </row>
    <row r="26" spans="1:18" ht="14.45" customHeight="1">
      <c r="A26" s="1506"/>
      <c r="B26" s="878"/>
      <c r="C26" s="885"/>
      <c r="D26" s="1499"/>
      <c r="E26" s="885"/>
      <c r="F26" s="886"/>
      <c r="G26" s="893"/>
      <c r="H26" s="1511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06"/>
      <c r="B27" s="878"/>
      <c r="C27" s="885"/>
      <c r="D27" s="1499"/>
      <c r="E27" s="885"/>
      <c r="F27" s="886"/>
      <c r="G27" s="893"/>
      <c r="H27" s="1511"/>
      <c r="I27" s="886"/>
      <c r="J27" s="886"/>
      <c r="K27" s="877"/>
      <c r="R27" s="1313" t="s">
        <v>872</v>
      </c>
    </row>
    <row r="28" spans="1:18" ht="14.45" customHeight="1">
      <c r="A28" s="1506"/>
      <c r="B28" s="878"/>
      <c r="C28" s="885"/>
      <c r="D28" s="1499"/>
      <c r="E28" s="885"/>
      <c r="F28" s="886"/>
      <c r="G28" s="893"/>
      <c r="H28" s="1511"/>
      <c r="I28" s="886"/>
      <c r="J28" s="886"/>
      <c r="K28" s="877"/>
      <c r="R28" s="890">
        <f>B65</f>
        <v>0</v>
      </c>
    </row>
    <row r="29" spans="1:18" ht="14.45" customHeight="1">
      <c r="A29" s="1506"/>
      <c r="B29" s="878"/>
      <c r="C29" s="885"/>
      <c r="D29" s="1499"/>
      <c r="E29" s="885"/>
      <c r="F29" s="886"/>
      <c r="G29" s="893"/>
      <c r="H29" s="1511"/>
      <c r="I29" s="886"/>
      <c r="J29" s="886"/>
      <c r="K29" s="877"/>
    </row>
    <row r="30" spans="1:18" ht="14.45" customHeight="1">
      <c r="A30" s="1506"/>
      <c r="B30" s="878"/>
      <c r="C30" s="885"/>
      <c r="D30" s="1499"/>
      <c r="E30" s="885"/>
      <c r="F30" s="886"/>
      <c r="G30" s="893"/>
      <c r="H30" s="1509"/>
      <c r="I30" s="886"/>
      <c r="J30" s="886"/>
      <c r="K30" s="877"/>
    </row>
    <row r="31" spans="1:18" ht="14.45" customHeight="1">
      <c r="A31" s="1506"/>
      <c r="B31" s="878"/>
      <c r="C31" s="885"/>
      <c r="D31" s="1499"/>
      <c r="E31" s="885"/>
      <c r="F31" s="886"/>
      <c r="G31" s="893"/>
      <c r="H31" s="1506"/>
      <c r="I31" s="886"/>
      <c r="J31" s="886"/>
      <c r="K31" s="862"/>
    </row>
    <row r="32" spans="1:18" ht="14.45" customHeight="1">
      <c r="A32" s="1506"/>
      <c r="B32" s="878"/>
      <c r="C32" s="885"/>
      <c r="D32" s="1499"/>
      <c r="E32" s="885"/>
      <c r="F32" s="886"/>
      <c r="G32" s="893"/>
      <c r="H32" s="1506"/>
      <c r="I32" s="886"/>
      <c r="J32" s="886"/>
      <c r="K32" s="862"/>
    </row>
    <row r="33" spans="1:11" ht="14.45" customHeight="1">
      <c r="A33" s="1506"/>
      <c r="B33" s="1512"/>
      <c r="C33" s="1513"/>
      <c r="D33" s="1513"/>
      <c r="E33" s="1513"/>
      <c r="F33" s="1514"/>
      <c r="G33" s="1514"/>
      <c r="H33" s="1506"/>
      <c r="I33" s="891"/>
      <c r="J33" s="891"/>
      <c r="K33" s="862"/>
    </row>
    <row r="34" spans="1:11" ht="14.45" customHeight="1">
      <c r="A34" s="1506"/>
      <c r="B34" s="1509"/>
      <c r="C34" s="1515"/>
      <c r="D34" s="1508"/>
      <c r="E34" s="1508"/>
      <c r="F34" s="1509"/>
      <c r="G34" s="1509"/>
      <c r="H34" s="1506"/>
      <c r="K34" s="862"/>
    </row>
    <row r="35" spans="1:11" ht="14.45" customHeight="1">
      <c r="A35" s="1506"/>
      <c r="B35" s="1509"/>
      <c r="C35" s="1508"/>
      <c r="D35" s="1508"/>
      <c r="E35" s="1508"/>
      <c r="F35" s="436"/>
      <c r="G35" s="1509"/>
      <c r="H35" s="1506"/>
      <c r="K35" s="862"/>
    </row>
    <row r="36" spans="1:11" ht="14.45" customHeight="1">
      <c r="A36" s="1506"/>
      <c r="B36" s="1507"/>
      <c r="C36" s="1515"/>
      <c r="D36" s="1508"/>
      <c r="E36" s="1508"/>
      <c r="F36" s="1509"/>
      <c r="G36" s="1516"/>
      <c r="H36" s="1506"/>
      <c r="K36" s="862"/>
    </row>
    <row r="37" spans="1:11" ht="43.5" customHeight="1">
      <c r="A37" s="1506"/>
      <c r="B37" s="1510"/>
      <c r="C37" s="1510"/>
      <c r="D37" s="1510"/>
      <c r="E37" s="887"/>
      <c r="F37" s="436"/>
      <c r="G37" s="1509"/>
      <c r="H37" s="1509"/>
      <c r="I37" s="862"/>
      <c r="J37" s="862"/>
      <c r="K37" s="862"/>
    </row>
    <row r="38" spans="1:11" ht="14.45" customHeight="1">
      <c r="A38" s="1506"/>
      <c r="B38" s="878"/>
      <c r="C38" s="1508"/>
      <c r="D38" s="887"/>
      <c r="E38" s="887"/>
      <c r="F38" s="436"/>
      <c r="G38" s="1509"/>
      <c r="H38" s="1509"/>
      <c r="I38" s="862"/>
      <c r="J38" s="862"/>
      <c r="K38" s="862"/>
    </row>
    <row r="39" spans="1:11" ht="14.45" customHeight="1">
      <c r="A39" s="1506"/>
      <c r="B39" s="878"/>
      <c r="C39" s="1508"/>
      <c r="D39" s="1500"/>
      <c r="E39" s="887"/>
      <c r="F39" s="436"/>
      <c r="G39" s="436"/>
      <c r="H39" s="1509"/>
      <c r="I39" s="862"/>
      <c r="J39" s="862"/>
      <c r="K39" s="862"/>
    </row>
    <row r="40" spans="1:11" ht="14.45" customHeight="1">
      <c r="A40" s="1506"/>
      <c r="B40" s="878"/>
      <c r="C40" s="887"/>
      <c r="D40" s="1500"/>
      <c r="E40" s="887"/>
      <c r="F40" s="436"/>
      <c r="G40" s="1509"/>
      <c r="H40" s="1509"/>
      <c r="I40" s="862"/>
      <c r="J40" s="862"/>
      <c r="K40" s="862"/>
    </row>
    <row r="41" spans="1:11" ht="14.45" customHeight="1">
      <c r="A41" s="1506"/>
      <c r="B41" s="878"/>
      <c r="C41" s="887"/>
      <c r="D41" s="1500"/>
      <c r="E41" s="887"/>
      <c r="F41" s="436"/>
      <c r="G41" s="1509"/>
      <c r="H41" s="1509"/>
      <c r="I41" s="862"/>
      <c r="J41" s="862"/>
      <c r="K41" s="862"/>
    </row>
    <row r="42" spans="1:11" ht="14.45" customHeight="1">
      <c r="A42" s="1506"/>
      <c r="B42" s="878"/>
      <c r="C42" s="1501"/>
      <c r="D42" s="1500"/>
      <c r="E42" s="887"/>
      <c r="F42" s="436"/>
      <c r="G42" s="1509"/>
      <c r="H42" s="1509"/>
      <c r="I42" s="862"/>
      <c r="J42" s="862"/>
      <c r="K42" s="862"/>
    </row>
    <row r="43" spans="1:11" ht="14.45" customHeight="1">
      <c r="A43" s="1506"/>
      <c r="B43" s="878"/>
      <c r="C43" s="887"/>
      <c r="D43" s="887"/>
      <c r="E43" s="887"/>
      <c r="F43" s="436"/>
      <c r="G43" s="1509"/>
      <c r="H43" s="1509"/>
      <c r="I43" s="862"/>
      <c r="J43" s="862"/>
      <c r="K43" s="862"/>
    </row>
    <row r="44" spans="1:11" ht="14.45" customHeight="1">
      <c r="A44" s="1506"/>
      <c r="B44" s="878"/>
      <c r="C44" s="887"/>
      <c r="D44" s="887"/>
      <c r="E44" s="887"/>
      <c r="F44" s="436"/>
      <c r="G44" s="1509"/>
      <c r="H44" s="1509"/>
      <c r="I44" s="862"/>
      <c r="J44" s="862"/>
      <c r="K44" s="862"/>
    </row>
    <row r="45" spans="1:11" ht="14.45" customHeight="1">
      <c r="A45" s="1506"/>
      <c r="B45" s="878"/>
      <c r="C45" s="887"/>
      <c r="D45" s="887"/>
      <c r="E45" s="887"/>
      <c r="F45" s="436"/>
      <c r="G45" s="1509"/>
      <c r="H45" s="1509"/>
      <c r="I45" s="862"/>
      <c r="J45" s="862"/>
      <c r="K45" s="862"/>
    </row>
    <row r="46" spans="1:11" ht="14.45" customHeight="1">
      <c r="A46" s="1506"/>
      <c r="B46" s="878"/>
      <c r="C46" s="887"/>
      <c r="D46" s="887"/>
      <c r="E46" s="887"/>
      <c r="F46" s="436"/>
      <c r="G46" s="1509"/>
      <c r="H46" s="1509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06"/>
      <c r="AD52" s="1506"/>
    </row>
    <row r="53" spans="2:30" ht="15" customHeight="1">
      <c r="B53" s="1563"/>
      <c r="C53" s="1563"/>
      <c r="D53" s="1563"/>
      <c r="E53" s="1563"/>
      <c r="F53" s="1563"/>
      <c r="G53" s="1563"/>
      <c r="H53" s="1563"/>
      <c r="I53" s="1563"/>
      <c r="J53" s="1563"/>
      <c r="K53" s="1563"/>
      <c r="L53" s="1563"/>
      <c r="M53" s="1563"/>
      <c r="N53" s="1563"/>
      <c r="O53" s="1563"/>
      <c r="P53" s="1563"/>
      <c r="Q53" s="1563"/>
      <c r="R53" s="1563"/>
      <c r="S53" s="1563"/>
      <c r="T53" s="1563"/>
      <c r="U53" s="1563"/>
      <c r="V53" s="1563"/>
      <c r="W53" s="1563"/>
      <c r="X53" s="1563"/>
      <c r="Y53" s="1563"/>
      <c r="Z53" s="1563"/>
      <c r="AA53" s="1563"/>
      <c r="AB53" s="1563"/>
      <c r="AC53" s="1506"/>
      <c r="AD53" s="1506"/>
    </row>
    <row r="54" spans="2:30" ht="15" customHeight="1">
      <c r="B54" s="1564"/>
      <c r="C54" s="1562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65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06"/>
      <c r="AD54" s="1506"/>
    </row>
    <row r="55" spans="2:30" ht="15" customHeight="1">
      <c r="B55" s="1564"/>
      <c r="C55" s="1562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65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06"/>
      <c r="AD55" s="1506"/>
    </row>
    <row r="56" spans="2:30" ht="15" customHeight="1">
      <c r="B56" s="1564"/>
      <c r="C56" s="1562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65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06"/>
      <c r="AD56" s="1506"/>
    </row>
    <row r="57" spans="2:30" ht="15" customHeight="1">
      <c r="B57" s="1564"/>
      <c r="C57" s="1562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65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06"/>
      <c r="AD57" s="1506"/>
    </row>
    <row r="58" spans="2:30" ht="15" customHeight="1">
      <c r="B58" s="1564"/>
      <c r="C58" s="1562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65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06"/>
      <c r="AD58" s="1506"/>
    </row>
    <row r="59" spans="2:30" ht="15" customHeight="1">
      <c r="B59" s="1564"/>
      <c r="C59" s="1562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65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06"/>
      <c r="AD59" s="1506"/>
    </row>
    <row r="60" spans="2:30" ht="15" customHeight="1">
      <c r="B60" s="1564"/>
      <c r="C60" s="1562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65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06"/>
      <c r="AD60" s="1506"/>
    </row>
    <row r="61" spans="2:30" ht="15" customHeight="1">
      <c r="B61" s="1564"/>
      <c r="C61" s="1562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65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06"/>
      <c r="AD61" s="1506"/>
    </row>
    <row r="62" spans="2:30" ht="15" customHeight="1">
      <c r="B62" s="1564"/>
      <c r="C62" s="1562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65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06"/>
      <c r="AD62" s="1506"/>
    </row>
    <row r="63" spans="2:30" ht="15" customHeight="1">
      <c r="B63" s="1564"/>
      <c r="C63" s="1562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65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06"/>
      <c r="AD63" s="1506"/>
    </row>
    <row r="64" spans="2:30" ht="15" customHeight="1">
      <c r="B64" s="1564"/>
      <c r="C64" s="1562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65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06"/>
      <c r="AD64" s="1506"/>
    </row>
    <row r="65" spans="2:30" ht="15" customHeight="1">
      <c r="B65" s="1564"/>
      <c r="C65" s="1562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65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06"/>
      <c r="AD65" s="1506"/>
    </row>
    <row r="66" spans="2:30" ht="15" customHeight="1">
      <c r="B66" s="1454"/>
      <c r="C66" s="1566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06"/>
      <c r="AD66" s="1506"/>
    </row>
    <row r="67" spans="2:30" ht="15" customHeight="1">
      <c r="B67" s="1567"/>
      <c r="C67" s="1567"/>
      <c r="D67" s="1514"/>
      <c r="E67" s="1514"/>
      <c r="F67" s="1514"/>
      <c r="G67" s="1514"/>
      <c r="H67" s="1514"/>
      <c r="I67" s="1514"/>
      <c r="J67" s="1514"/>
      <c r="K67" s="1514"/>
      <c r="L67" s="1514"/>
      <c r="M67" s="1514"/>
      <c r="N67" s="1514"/>
      <c r="O67" s="1514"/>
      <c r="P67" s="1514"/>
      <c r="Q67" s="1514"/>
      <c r="R67" s="1514"/>
      <c r="S67" s="1514"/>
      <c r="T67" s="1514"/>
      <c r="U67" s="1514"/>
      <c r="V67" s="1514"/>
      <c r="W67" s="1514"/>
      <c r="X67" s="1514"/>
      <c r="Y67" s="1514"/>
      <c r="Z67" s="1514"/>
      <c r="AA67" s="1514"/>
      <c r="AB67" s="1514"/>
      <c r="AC67" s="1506"/>
      <c r="AD67" s="1506"/>
    </row>
    <row r="68" spans="2:30" ht="15" customHeight="1">
      <c r="B68" s="1506"/>
      <c r="C68" s="1568"/>
      <c r="D68" s="1568"/>
      <c r="E68" s="1568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</row>
    <row r="69" spans="2:30" ht="15" customHeight="1">
      <c r="B69" s="1506"/>
      <c r="C69" s="1568"/>
      <c r="D69" s="1568"/>
      <c r="E69" s="1568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1322</v>
      </c>
      <c r="B3" s="65"/>
      <c r="C3" s="65"/>
      <c r="D3" s="65"/>
      <c r="E3" s="65"/>
      <c r="F3" s="665"/>
      <c r="G3" s="353"/>
      <c r="H3" s="353"/>
      <c r="I3" s="667" t="s">
        <v>1323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1" t="s">
        <v>22</v>
      </c>
      <c r="B4" s="1322"/>
      <c r="C4" s="669" t="s">
        <v>848</v>
      </c>
      <c r="D4" s="669" t="s">
        <v>1324</v>
      </c>
      <c r="E4" s="669" t="s">
        <v>1325</v>
      </c>
      <c r="F4" s="669" t="s">
        <v>8</v>
      </c>
      <c r="G4" s="670" t="s">
        <v>1326</v>
      </c>
      <c r="H4" s="353"/>
      <c r="I4" s="1321" t="s">
        <v>22</v>
      </c>
      <c r="J4" s="1321"/>
      <c r="K4" s="1321"/>
      <c r="L4" s="669" t="s">
        <v>1325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3" t="s">
        <v>695</v>
      </c>
      <c r="B5" s="1324"/>
      <c r="C5" s="1325">
        <f>SUMPRODUCT(C16:Q16,$C$22:$Q$22)</f>
        <v>0</v>
      </c>
      <c r="D5" s="674">
        <f>SUMPRODUCT(C28:Q28,$C$34:$Q$34)</f>
        <v>0</v>
      </c>
      <c r="E5" s="1326">
        <f>C5-D5</f>
        <v>0</v>
      </c>
      <c r="F5" s="1327">
        <f>Resultado!M9</f>
        <v>0</v>
      </c>
      <c r="G5" s="671">
        <f>F5+E5</f>
        <v>0</v>
      </c>
      <c r="H5" s="353"/>
      <c r="I5" s="1323" t="s">
        <v>695</v>
      </c>
      <c r="J5" s="1323"/>
      <c r="K5" s="1323"/>
      <c r="L5" s="1327">
        <f t="shared" ref="L5:N10" si="0">E5/12</f>
        <v>0</v>
      </c>
      <c r="M5" s="1327">
        <f t="shared" si="0"/>
        <v>0</v>
      </c>
      <c r="N5" s="1325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697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2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697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699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699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700</v>
      </c>
      <c r="B8" s="672"/>
      <c r="C8" s="673">
        <f t="shared" si="1"/>
        <v>8158.2457010401686</v>
      </c>
      <c r="D8" s="674">
        <f t="shared" si="2"/>
        <v>7887.5048526190822</v>
      </c>
      <c r="E8" s="692">
        <f t="shared" si="3"/>
        <v>270.74084842108641</v>
      </c>
      <c r="F8" s="674">
        <f>Resultado!M12</f>
        <v>4543.1138070210154</v>
      </c>
      <c r="G8" s="671">
        <f t="shared" si="4"/>
        <v>4813.8546554421018</v>
      </c>
      <c r="H8" s="353"/>
      <c r="I8" s="65" t="s">
        <v>700</v>
      </c>
      <c r="J8" s="65"/>
      <c r="K8" s="65"/>
      <c r="L8" s="674">
        <f t="shared" si="0"/>
        <v>22.561737368423866</v>
      </c>
      <c r="M8" s="674">
        <f t="shared" si="0"/>
        <v>378.59281725175128</v>
      </c>
      <c r="N8" s="673">
        <f t="shared" si="0"/>
        <v>401.15455462017513</v>
      </c>
      <c r="P8" s="353"/>
      <c r="Q8" s="353"/>
      <c r="R8" s="9"/>
      <c r="S8" s="9"/>
      <c r="T8" s="9"/>
      <c r="U8" s="9"/>
      <c r="V8" s="9"/>
    </row>
    <row r="9" spans="1:22">
      <c r="A9" s="65" t="s">
        <v>703</v>
      </c>
      <c r="B9" s="672"/>
      <c r="C9" s="673">
        <f t="shared" si="1"/>
        <v>374351.84783664288</v>
      </c>
      <c r="D9" s="674">
        <f t="shared" si="2"/>
        <v>427634.2026204213</v>
      </c>
      <c r="E9" s="692">
        <f>C9-D9</f>
        <v>-53282.354783778428</v>
      </c>
      <c r="F9" s="674">
        <f>Resultado!M13</f>
        <v>208067.32742930399</v>
      </c>
      <c r="G9" s="671">
        <f t="shared" si="4"/>
        <v>154784.97264552556</v>
      </c>
      <c r="H9" s="353"/>
      <c r="I9" s="65" t="s">
        <v>703</v>
      </c>
      <c r="J9" s="65"/>
      <c r="K9" s="65"/>
      <c r="L9" s="674">
        <f t="shared" si="0"/>
        <v>-4440.1962319815357</v>
      </c>
      <c r="M9" s="674">
        <f t="shared" si="0"/>
        <v>17338.943952441998</v>
      </c>
      <c r="N9" s="673">
        <f t="shared" si="0"/>
        <v>12898.747720460464</v>
      </c>
      <c r="P9" s="353"/>
      <c r="Q9" s="353"/>
      <c r="R9" s="9"/>
      <c r="S9" s="9"/>
      <c r="T9" s="9"/>
      <c r="U9" s="9"/>
      <c r="V9" s="9"/>
    </row>
    <row r="10" spans="1:22">
      <c r="A10" s="1064" t="s">
        <v>705</v>
      </c>
      <c r="B10" s="675"/>
      <c r="C10" s="673">
        <f t="shared" si="1"/>
        <v>32278.628689906182</v>
      </c>
      <c r="D10" s="674">
        <f t="shared" si="2"/>
        <v>21460.362018060161</v>
      </c>
      <c r="E10" s="1328">
        <f t="shared" si="3"/>
        <v>10818.26667184602</v>
      </c>
      <c r="F10" s="1329">
        <f>Resultado!M14</f>
        <v>33932.78503346358</v>
      </c>
      <c r="G10" s="671">
        <f t="shared" si="4"/>
        <v>44751.051705309597</v>
      </c>
      <c r="H10" s="353"/>
      <c r="I10" s="1064" t="s">
        <v>705</v>
      </c>
      <c r="J10" s="1064"/>
      <c r="K10" s="1064"/>
      <c r="L10" s="1329">
        <f t="shared" si="0"/>
        <v>901.522222653835</v>
      </c>
      <c r="M10" s="1329">
        <f t="shared" si="0"/>
        <v>2827.732086121965</v>
      </c>
      <c r="N10" s="676">
        <f t="shared" si="0"/>
        <v>3729.2543087757999</v>
      </c>
      <c r="P10" s="353"/>
      <c r="Q10" s="353"/>
      <c r="R10" s="9"/>
      <c r="S10" s="9"/>
      <c r="T10" s="9"/>
      <c r="U10" s="9"/>
      <c r="V10" s="9"/>
    </row>
    <row r="11" spans="1:22">
      <c r="A11" s="1330" t="s">
        <v>767</v>
      </c>
      <c r="B11" s="1330"/>
      <c r="C11" s="1331">
        <f>SUM(C5:C10)</f>
        <v>414788.72222758923</v>
      </c>
      <c r="D11" s="1331">
        <f>SUM(D5:D10)</f>
        <v>456982.06949110056</v>
      </c>
      <c r="E11" s="1331">
        <f t="shared" ref="E11" si="5">SUM(E5:E10)</f>
        <v>-42193.347263511314</v>
      </c>
      <c r="F11" s="1331">
        <f>SUM(F5:F10)</f>
        <v>246543.2262697886</v>
      </c>
      <c r="G11" s="1332">
        <f>SUM(G5:G10)</f>
        <v>204349.87900627725</v>
      </c>
      <c r="H11" s="353"/>
      <c r="I11" s="1330" t="s">
        <v>767</v>
      </c>
      <c r="J11" s="1330"/>
      <c r="K11" s="1330"/>
      <c r="L11" s="1331">
        <f>SUM(L5:L10)</f>
        <v>-3516.1122719592772</v>
      </c>
      <c r="M11" s="1331">
        <f>SUM(M5:M10)</f>
        <v>20545.268855815717</v>
      </c>
      <c r="N11" s="1332">
        <f>SUM(N5:N10)</f>
        <v>17029.156583856438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1327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44" t="s">
        <v>22</v>
      </c>
      <c r="B14" s="1845" t="s">
        <v>1328</v>
      </c>
      <c r="C14" s="353"/>
      <c r="D14" s="353"/>
      <c r="E14" s="353"/>
      <c r="F14" s="677" t="s">
        <v>872</v>
      </c>
      <c r="G14" s="677" t="s">
        <v>872</v>
      </c>
      <c r="H14" s="677" t="s">
        <v>872</v>
      </c>
      <c r="I14" s="677" t="s">
        <v>872</v>
      </c>
      <c r="J14" s="677" t="s">
        <v>872</v>
      </c>
      <c r="K14" s="677" t="s">
        <v>872</v>
      </c>
      <c r="L14" s="677" t="s">
        <v>872</v>
      </c>
      <c r="M14" s="677" t="s">
        <v>872</v>
      </c>
      <c r="N14" s="677" t="s">
        <v>872</v>
      </c>
      <c r="O14" s="677" t="s">
        <v>872</v>
      </c>
      <c r="P14" s="677" t="s">
        <v>872</v>
      </c>
      <c r="Q14" s="677" t="s">
        <v>872</v>
      </c>
      <c r="R14" s="9"/>
      <c r="S14" s="9"/>
      <c r="T14" s="9"/>
      <c r="U14" s="9"/>
      <c r="V14" s="9"/>
    </row>
    <row r="15" spans="1:22">
      <c r="A15" s="1844"/>
      <c r="B15" s="1845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1329</v>
      </c>
      <c r="B16" s="681" t="s">
        <v>924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0</v>
      </c>
      <c r="L16" s="682">
        <f t="shared" si="8"/>
        <v>0</v>
      </c>
      <c r="M16" s="682">
        <f t="shared" si="8"/>
        <v>0</v>
      </c>
      <c r="N16" s="682">
        <f t="shared" si="8"/>
        <v>0</v>
      </c>
      <c r="O16" s="682">
        <f t="shared" si="8"/>
        <v>0</v>
      </c>
      <c r="P16" s="682">
        <f t="shared" si="8"/>
        <v>0</v>
      </c>
      <c r="Q16" s="682">
        <f t="shared" si="8"/>
        <v>0</v>
      </c>
      <c r="R16" s="9"/>
      <c r="S16" s="9"/>
      <c r="T16" s="9"/>
      <c r="U16" s="9"/>
      <c r="V16" s="9"/>
    </row>
    <row r="17" spans="1:22">
      <c r="A17" s="680" t="s">
        <v>1330</v>
      </c>
      <c r="B17" s="681" t="s">
        <v>925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1331</v>
      </c>
      <c r="B18" s="681" t="s">
        <v>926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1332</v>
      </c>
      <c r="B19" s="681" t="s">
        <v>927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652.29085560000112</v>
      </c>
      <c r="G19" s="682">
        <f t="shared" si="8"/>
        <v>737.53397160000111</v>
      </c>
      <c r="H19" s="682">
        <f t="shared" si="8"/>
        <v>668.91161760000125</v>
      </c>
      <c r="I19" s="682">
        <f t="shared" si="8"/>
        <v>742.96451760000014</v>
      </c>
      <c r="J19" s="682">
        <f t="shared" si="8"/>
        <v>571.72130039999934</v>
      </c>
      <c r="K19" s="682">
        <f t="shared" si="8"/>
        <v>665.65328999999986</v>
      </c>
      <c r="L19" s="682">
        <f t="shared" si="8"/>
        <v>571.85295000000019</v>
      </c>
      <c r="M19" s="682">
        <f t="shared" si="8"/>
        <v>634.02447359999883</v>
      </c>
      <c r="N19" s="682">
        <f t="shared" si="8"/>
        <v>614.86945679999894</v>
      </c>
      <c r="O19" s="682">
        <f t="shared" si="8"/>
        <v>668.6154060000008</v>
      </c>
      <c r="P19" s="682">
        <f t="shared" si="8"/>
        <v>635.57135640000058</v>
      </c>
      <c r="Q19" s="682">
        <f t="shared" si="8"/>
        <v>635.57135640000058</v>
      </c>
      <c r="R19" s="9"/>
      <c r="S19" s="9"/>
      <c r="T19" s="9"/>
      <c r="U19" s="9"/>
      <c r="V19" s="9"/>
    </row>
    <row r="20" spans="1:22">
      <c r="A20" s="680" t="s">
        <v>1333</v>
      </c>
      <c r="B20" s="681" t="s">
        <v>928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24915.568619999995</v>
      </c>
      <c r="G20" s="682">
        <f t="shared" si="8"/>
        <v>26428.704600000001</v>
      </c>
      <c r="H20" s="682">
        <f t="shared" si="8"/>
        <v>34245.751079999995</v>
      </c>
      <c r="I20" s="682">
        <f t="shared" si="8"/>
        <v>36255.498959999997</v>
      </c>
      <c r="J20" s="682">
        <f t="shared" si="8"/>
        <v>36146.895959999994</v>
      </c>
      <c r="K20" s="682">
        <f t="shared" si="8"/>
        <v>35140.376519999983</v>
      </c>
      <c r="L20" s="682">
        <f t="shared" si="8"/>
        <v>30872.278620000001</v>
      </c>
      <c r="M20" s="682">
        <f t="shared" si="8"/>
        <v>33454.002299999993</v>
      </c>
      <c r="N20" s="682">
        <f t="shared" si="8"/>
        <v>27027.732419999997</v>
      </c>
      <c r="O20" s="682">
        <f t="shared" si="8"/>
        <v>25838.957399999999</v>
      </c>
      <c r="P20" s="682">
        <f t="shared" si="8"/>
        <v>23428.234080000002</v>
      </c>
      <c r="Q20" s="682">
        <f t="shared" si="8"/>
        <v>23428.234080000002</v>
      </c>
      <c r="R20" s="9"/>
      <c r="S20" s="9"/>
      <c r="T20" s="9"/>
      <c r="U20" s="9"/>
      <c r="V20" s="9"/>
    </row>
    <row r="21" spans="1:22">
      <c r="A21" s="680" t="s">
        <v>1334</v>
      </c>
      <c r="B21" s="681" t="s">
        <v>929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2585.5578480000004</v>
      </c>
      <c r="G21" s="682">
        <f t="shared" si="8"/>
        <v>2011.1474160000002</v>
      </c>
      <c r="H21" s="682">
        <f t="shared" si="8"/>
        <v>5820.8819519999988</v>
      </c>
      <c r="I21" s="682">
        <f t="shared" si="8"/>
        <v>3388.8793679999999</v>
      </c>
      <c r="J21" s="682">
        <f t="shared" si="8"/>
        <v>6796.953144000001</v>
      </c>
      <c r="K21" s="682">
        <f t="shared" si="8"/>
        <v>4244.0968799999991</v>
      </c>
      <c r="L21" s="682">
        <f t="shared" si="8"/>
        <v>1129.2710039999997</v>
      </c>
      <c r="M21" s="682">
        <f t="shared" si="8"/>
        <v>1256.5228199999999</v>
      </c>
      <c r="N21" s="682">
        <f t="shared" si="8"/>
        <v>1223.8212359999998</v>
      </c>
      <c r="O21" s="682">
        <f t="shared" si="8"/>
        <v>781.99440000000016</v>
      </c>
      <c r="P21" s="682">
        <f>DSUM(MercadoBase,$B21,P$14:P$15)</f>
        <v>504.38638799999995</v>
      </c>
      <c r="Q21" s="682">
        <f t="shared" si="8"/>
        <v>504.38638799999995</v>
      </c>
      <c r="R21" s="9"/>
      <c r="S21" s="9"/>
      <c r="T21" s="9"/>
      <c r="U21" s="9"/>
      <c r="V21" s="9"/>
    </row>
    <row r="22" spans="1:22">
      <c r="A22" s="1333" t="s">
        <v>1335</v>
      </c>
      <c r="B22" s="1334" t="s">
        <v>1192</v>
      </c>
      <c r="C22" s="1335">
        <f>VLOOKUP($Q$15,Índices!$B:$F,2,FALSE)/VLOOKUP(EDATE(C15,-1),Índices!$B:$F,2,FALSE)</f>
        <v>1.1082167683385875</v>
      </c>
      <c r="D22" s="1335">
        <f>VLOOKUP($Q$15,Índices!$B:$F,2,FALSE)/VLOOKUP(EDATE(D15,-1),Índices!$B:$F,2,FALSE)</f>
        <v>1.1015781797155986</v>
      </c>
      <c r="E22" s="1335">
        <f>VLOOKUP($Q$15,Índices!$B:$F,2,FALSE)/VLOOKUP(EDATE(E15,-1),Índices!$B:$F,2,FALSE)</f>
        <v>1.0930813258985603</v>
      </c>
      <c r="F22" s="1335">
        <f>VLOOKUP($Q$15,Índices!$B:$F,2,FALSE)/VLOOKUP(EDATE(F15,-1),Índices!$B:$F,2,FALSE)</f>
        <v>1.0858745154816776</v>
      </c>
      <c r="G22" s="1335">
        <f>VLOOKUP($Q$15,Índices!$B:$F,2,FALSE)/VLOOKUP(EDATE(G15,-1),Índices!$B:$F,2,FALSE)</f>
        <v>1.0928625709205468</v>
      </c>
      <c r="H22" s="1335">
        <f>VLOOKUP($Q$15,Índices!$B:$F,2,FALSE)/VLOOKUP(EDATE(H15,-1),Índices!$B:$F,2,FALSE)</f>
        <v>1.0858814807891262</v>
      </c>
      <c r="I22" s="1335">
        <f>VLOOKUP($Q$15,Índices!$B:$F,2,FALSE)/VLOOKUP(EDATE(I15,-1),Índices!$B:$F,2,FALSE)</f>
        <v>1.0856825071943401</v>
      </c>
      <c r="J22" s="1335">
        <f>VLOOKUP($Q$15,Índices!$B:$F,2,FALSE)/VLOOKUP(EDATE(J15,-1),Índices!$B:$F,2,FALSE)</f>
        <v>1.0763096418852884</v>
      </c>
      <c r="K22" s="1335">
        <f>VLOOKUP($Q$15,Índices!$B:$F,2,FALSE)/VLOOKUP(EDATE(K15,-1),Índices!$B:$F,2,FALSE)</f>
        <v>1.0570963934847399</v>
      </c>
      <c r="L22" s="1335">
        <f>VLOOKUP($Q$15,Índices!$B:$F,2,FALSE)/VLOOKUP(EDATE(L15,-1),Índices!$B:$F,2,FALSE)</f>
        <v>1.0380694251480009</v>
      </c>
      <c r="M22" s="1335">
        <f>VLOOKUP($Q$15,Índices!$B:$F,2,FALSE)/VLOOKUP(EDATE(M15,-1),Índices!$B:$F,2,FALSE)</f>
        <v>1.0203079339221537</v>
      </c>
      <c r="N22" s="1335">
        <f>VLOOKUP($Q$15,Índices!$B:$F,2,FALSE)/VLOOKUP(EDATE(N15,-1),Índices!$B:$F,2,FALSE)</f>
        <v>1.0061088003233121</v>
      </c>
      <c r="O22" s="1335">
        <f>VLOOKUP($Q$15,Índices!$B:$F,2,FALSE)/VLOOKUP(EDATE(O15,-1),Índices!$B:$F,2,FALSE)</f>
        <v>1.0008877041571751</v>
      </c>
      <c r="P22" s="1335">
        <f>VLOOKUP($Q$15,Índices!$B:$F,2,FALSE)/VLOOKUP(EDATE(P15,-1),Índices!$B:$F,2,FALSE)</f>
        <v>0.99506416252827723</v>
      </c>
      <c r="Q22" s="1335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6" t="s">
        <v>1336</v>
      </c>
      <c r="B23" s="1337"/>
      <c r="C23" s="1338">
        <f t="shared" ref="C23:Q23" si="10">SUM(C16:C21)*C22</f>
        <v>0</v>
      </c>
      <c r="D23" s="1338">
        <f t="shared" si="10"/>
        <v>0</v>
      </c>
      <c r="E23" s="1338">
        <f t="shared" si="10"/>
        <v>0</v>
      </c>
      <c r="F23" s="1339">
        <f>SUM(F16:F21)*F22</f>
        <v>30571.078395417611</v>
      </c>
      <c r="G23" s="1339">
        <f t="shared" si="10"/>
        <v>31886.873063149676</v>
      </c>
      <c r="H23" s="1339">
        <f t="shared" si="10"/>
        <v>44233.973544859204</v>
      </c>
      <c r="I23" s="1339">
        <f t="shared" si="10"/>
        <v>43847.831639528398</v>
      </c>
      <c r="J23" s="1339">
        <f t="shared" si="10"/>
        <v>46836.227998393813</v>
      </c>
      <c r="K23" s="1339">
        <f t="shared" si="10"/>
        <v>42336.844482605906</v>
      </c>
      <c r="L23" s="1339">
        <f t="shared" si="10"/>
        <v>33813.453285106596</v>
      </c>
      <c r="M23" s="1339">
        <f t="shared" si="10"/>
        <v>36062.324371255105</v>
      </c>
      <c r="N23" s="1339">
        <f t="shared" si="10"/>
        <v>29042.76232764433</v>
      </c>
      <c r="O23" s="1339">
        <f t="shared" si="10"/>
        <v>27313.792268256275</v>
      </c>
      <c r="P23" s="1339">
        <f t="shared" si="10"/>
        <v>24446.927222580653</v>
      </c>
      <c r="Q23" s="1339">
        <f t="shared" si="10"/>
        <v>24396.633628791613</v>
      </c>
      <c r="R23" s="9"/>
      <c r="S23" s="9"/>
      <c r="T23" s="9"/>
      <c r="U23" s="9"/>
      <c r="V23" s="9"/>
    </row>
    <row r="24" spans="1:22">
      <c r="A24" s="9"/>
      <c r="B24" s="9"/>
      <c r="C24" s="9" t="s">
        <v>1337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1338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44" t="s">
        <v>22</v>
      </c>
      <c r="B26" s="1845" t="s">
        <v>1328</v>
      </c>
      <c r="C26" s="677" t="s">
        <v>872</v>
      </c>
      <c r="D26" s="677" t="s">
        <v>872</v>
      </c>
      <c r="E26" s="677" t="s">
        <v>872</v>
      </c>
      <c r="F26" s="677" t="s">
        <v>872</v>
      </c>
      <c r="G26" s="677" t="s">
        <v>872</v>
      </c>
      <c r="H26" s="677" t="s">
        <v>872</v>
      </c>
      <c r="I26" s="677" t="s">
        <v>872</v>
      </c>
      <c r="J26" s="677" t="s">
        <v>872</v>
      </c>
      <c r="K26" s="677" t="s">
        <v>872</v>
      </c>
      <c r="L26" s="677" t="s">
        <v>872</v>
      </c>
      <c r="M26" s="677" t="s">
        <v>872</v>
      </c>
      <c r="N26" s="677" t="s">
        <v>872</v>
      </c>
      <c r="O26" s="677" t="s">
        <v>872</v>
      </c>
      <c r="P26" s="677" t="s">
        <v>872</v>
      </c>
      <c r="Q26" s="677" t="s">
        <v>872</v>
      </c>
      <c r="R26" s="9"/>
      <c r="S26" s="9"/>
      <c r="T26" s="9"/>
      <c r="U26" s="9"/>
      <c r="V26" s="9"/>
    </row>
    <row r="27" spans="1:22">
      <c r="A27" s="1844"/>
      <c r="B27" s="1845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1329</v>
      </c>
      <c r="B28" s="681" t="s">
        <v>695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0</v>
      </c>
      <c r="G28" s="682">
        <f>VLOOKUP($B28,BD!$B$61:$C$66,2,FALSE)</f>
        <v>0</v>
      </c>
      <c r="H28" s="682">
        <f>VLOOKUP($B28,BD!$B$61:$C$66,2,FALSE)</f>
        <v>0</v>
      </c>
      <c r="I28" s="682">
        <f>VLOOKUP($B28,BD!$B$61:$C$66,2,FALSE)</f>
        <v>0</v>
      </c>
      <c r="J28" s="682">
        <f>VLOOKUP($B28,BD!$B$61:$C$66,2,FALSE)</f>
        <v>0</v>
      </c>
      <c r="K28" s="682">
        <f>VLOOKUP($B28,BD!$B$61:$C$66,2,FALSE)</f>
        <v>0</v>
      </c>
      <c r="L28" s="682">
        <f>VLOOKUP($B28,BD!$B$61:$C$66,2,FALSE)</f>
        <v>0</v>
      </c>
      <c r="M28" s="682">
        <f>VLOOKUP($B28,BD!$B$61:$C$66,2,FALSE)</f>
        <v>0</v>
      </c>
      <c r="N28" s="682">
        <f>VLOOKUP($B28,BD!$B$61:$C$66,2,FALSE)</f>
        <v>0</v>
      </c>
      <c r="O28" s="682">
        <f>VLOOKUP($B28,BD!$B$61:$C$66,2,FALSE)</f>
        <v>0</v>
      </c>
      <c r="P28" s="682">
        <f>VLOOKUP($B28,BD!$B$61:$C$66,2,FALSE)</f>
        <v>0</v>
      </c>
      <c r="Q28" s="682">
        <f>VLOOKUP($B28,BD!$B$61:$C$66,2,FALSE)</f>
        <v>0</v>
      </c>
      <c r="S28" s="9"/>
      <c r="T28" s="9"/>
      <c r="U28" s="9"/>
      <c r="V28" s="9"/>
    </row>
    <row r="29" spans="1:22">
      <c r="A29" s="680" t="s">
        <v>1330</v>
      </c>
      <c r="B29" s="681" t="s">
        <v>697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1331</v>
      </c>
      <c r="B30" s="681" t="s">
        <v>699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1332</v>
      </c>
      <c r="B31" s="681" t="s">
        <v>700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629.13</v>
      </c>
      <c r="G31" s="682">
        <f>VLOOKUP($B31,BD!$B$61:$C$66,2,FALSE)</f>
        <v>629.13</v>
      </c>
      <c r="H31" s="682">
        <f>VLOOKUP($B31,BD!$B$61:$C$66,2,FALSE)</f>
        <v>629.13</v>
      </c>
      <c r="I31" s="682">
        <f>VLOOKUP($B31,BD!$B$61:$C$66,2,FALSE)</f>
        <v>629.13</v>
      </c>
      <c r="J31" s="682">
        <f>VLOOKUP($B31,BD!$B$61:$C$66,2,FALSE)</f>
        <v>629.13</v>
      </c>
      <c r="K31" s="682">
        <f>VLOOKUP($B31,BD!$B$61:$C$66,2,FALSE)</f>
        <v>629.13</v>
      </c>
      <c r="L31" s="682">
        <f>VLOOKUP($B31,BD!$B$61:$C$66,2,FALSE)</f>
        <v>629.13</v>
      </c>
      <c r="M31" s="682">
        <f>VLOOKUP($B31,BD!$B$61:$C$66,2,FALSE)</f>
        <v>629.13</v>
      </c>
      <c r="N31" s="682">
        <f>VLOOKUP($B31,BD!$B$61:$C$66,2,FALSE)</f>
        <v>629.13</v>
      </c>
      <c r="O31" s="682">
        <f>VLOOKUP($B31,BD!$B$61:$C$66,2,FALSE)</f>
        <v>629.13</v>
      </c>
      <c r="P31" s="682">
        <f>VLOOKUP($B31,BD!$B$61:$C$66,2,FALSE)</f>
        <v>629.13</v>
      </c>
      <c r="Q31" s="682">
        <f>VLOOKUP($B31,BD!$B$61:$C$66,2,FALSE)</f>
        <v>629.13</v>
      </c>
      <c r="S31" s="9"/>
      <c r="T31" s="9"/>
      <c r="U31" s="9"/>
      <c r="V31" s="9"/>
    </row>
    <row r="32" spans="1:22">
      <c r="A32" s="680" t="s">
        <v>1333</v>
      </c>
      <c r="B32" s="681" t="s">
        <v>703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34109.33</v>
      </c>
      <c r="G32" s="682">
        <f>VLOOKUP($B32,BD!$B$61:$C$66,2,FALSE)</f>
        <v>34109.33</v>
      </c>
      <c r="H32" s="682">
        <f>VLOOKUP($B32,BD!$B$61:$C$66,2,FALSE)</f>
        <v>34109.33</v>
      </c>
      <c r="I32" s="682">
        <f>VLOOKUP($B32,BD!$B$61:$C$66,2,FALSE)</f>
        <v>34109.33</v>
      </c>
      <c r="J32" s="682">
        <f>VLOOKUP($B32,BD!$B$61:$C$66,2,FALSE)</f>
        <v>34109.33</v>
      </c>
      <c r="K32" s="682">
        <f>VLOOKUP($B32,BD!$B$61:$C$66,2,FALSE)</f>
        <v>34109.33</v>
      </c>
      <c r="L32" s="682">
        <f>VLOOKUP($B32,BD!$B$61:$C$66,2,FALSE)</f>
        <v>34109.33</v>
      </c>
      <c r="M32" s="682">
        <f>VLOOKUP($B32,BD!$B$61:$C$66,2,FALSE)</f>
        <v>34109.33</v>
      </c>
      <c r="N32" s="682">
        <f>VLOOKUP($B32,BD!$B$61:$C$66,2,FALSE)</f>
        <v>34109.33</v>
      </c>
      <c r="O32" s="682">
        <f>VLOOKUP($B32,BD!$B$61:$C$66,2,FALSE)</f>
        <v>34109.33</v>
      </c>
      <c r="P32" s="682">
        <f>VLOOKUP($B32,BD!$B$61:$C$66,2,FALSE)</f>
        <v>34109.33</v>
      </c>
      <c r="Q32" s="682">
        <f>VLOOKUP($B32,BD!$B$61:$C$66,2,FALSE)</f>
        <v>34109.33</v>
      </c>
      <c r="S32" s="9"/>
      <c r="T32" s="9"/>
      <c r="U32" s="9"/>
      <c r="V32" s="9"/>
    </row>
    <row r="33" spans="1:22">
      <c r="A33" s="683" t="s">
        <v>1334</v>
      </c>
      <c r="B33" s="681" t="s">
        <v>705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1711.74</v>
      </c>
      <c r="G33" s="682">
        <f>VLOOKUP($B33,BD!$B$61:$C$66,2,FALSE)</f>
        <v>1711.74</v>
      </c>
      <c r="H33" s="682">
        <f>VLOOKUP($B33,BD!$B$61:$C$66,2,FALSE)</f>
        <v>1711.74</v>
      </c>
      <c r="I33" s="682">
        <f>VLOOKUP($B33,BD!$B$61:$C$66,2,FALSE)</f>
        <v>1711.74</v>
      </c>
      <c r="J33" s="682">
        <f>VLOOKUP($B33,BD!$B$61:$C$66,2,FALSE)</f>
        <v>1711.74</v>
      </c>
      <c r="K33" s="682">
        <f>VLOOKUP($B33,BD!$B$61:$C$66,2,FALSE)</f>
        <v>1711.74</v>
      </c>
      <c r="L33" s="682">
        <f>VLOOKUP($B33,BD!$B$61:$C$66,2,FALSE)</f>
        <v>1711.74</v>
      </c>
      <c r="M33" s="682">
        <f>VLOOKUP($B33,BD!$B$61:$C$66,2,FALSE)</f>
        <v>1711.74</v>
      </c>
      <c r="N33" s="682">
        <f>VLOOKUP($B33,BD!$B$61:$C$66,2,FALSE)</f>
        <v>1711.74</v>
      </c>
      <c r="O33" s="682">
        <f>VLOOKUP($B33,BD!$B$61:$C$66,2,FALSE)</f>
        <v>1711.74</v>
      </c>
      <c r="P33" s="682">
        <f>VLOOKUP($B33,BD!$B$61:$C$66,2,FALSE)</f>
        <v>1711.74</v>
      </c>
      <c r="Q33" s="682">
        <f>VLOOKUP($B33,BD!$B$61:$C$66,2,FALSE)</f>
        <v>1711.74</v>
      </c>
      <c r="S33" s="9"/>
      <c r="T33" s="9"/>
      <c r="U33" s="9"/>
      <c r="V33" s="9"/>
    </row>
    <row r="34" spans="1:22">
      <c r="A34" s="1333" t="s">
        <v>1335</v>
      </c>
      <c r="B34" s="1334" t="s">
        <v>1192</v>
      </c>
      <c r="C34" s="1340">
        <f t="shared" ref="C34:Q34" si="12">C22</f>
        <v>1.1082167683385875</v>
      </c>
      <c r="D34" s="1340">
        <f t="shared" si="12"/>
        <v>1.1015781797155986</v>
      </c>
      <c r="E34" s="1340">
        <f t="shared" si="12"/>
        <v>1.0930813258985603</v>
      </c>
      <c r="F34" s="1335">
        <f t="shared" si="12"/>
        <v>1.0858745154816776</v>
      </c>
      <c r="G34" s="1335">
        <f t="shared" si="12"/>
        <v>1.0928625709205468</v>
      </c>
      <c r="H34" s="1335">
        <f t="shared" si="12"/>
        <v>1.0858814807891262</v>
      </c>
      <c r="I34" s="1335">
        <f t="shared" si="12"/>
        <v>1.0856825071943401</v>
      </c>
      <c r="J34" s="1335">
        <f t="shared" si="12"/>
        <v>1.0763096418852884</v>
      </c>
      <c r="K34" s="1335">
        <f t="shared" si="12"/>
        <v>1.0570963934847399</v>
      </c>
      <c r="L34" s="1335">
        <f t="shared" si="12"/>
        <v>1.0380694251480009</v>
      </c>
      <c r="M34" s="1335">
        <f t="shared" si="12"/>
        <v>1.0203079339221537</v>
      </c>
      <c r="N34" s="1335">
        <f t="shared" si="12"/>
        <v>1.0061088003233121</v>
      </c>
      <c r="O34" s="1335">
        <f t="shared" si="12"/>
        <v>1.0008877041571751</v>
      </c>
      <c r="P34" s="1335">
        <f t="shared" si="12"/>
        <v>0.99506416252827723</v>
      </c>
      <c r="Q34" s="1335">
        <f t="shared" si="12"/>
        <v>0.99301706056210437</v>
      </c>
      <c r="S34" s="9"/>
      <c r="T34" s="9"/>
      <c r="U34" s="9"/>
      <c r="V34" s="9"/>
    </row>
    <row r="35" spans="1:22">
      <c r="A35" s="1336" t="s">
        <v>1336</v>
      </c>
      <c r="B35" s="1337"/>
      <c r="C35" s="1338">
        <f>SUM(C28:C33)*C34</f>
        <v>0</v>
      </c>
      <c r="D35" s="1338">
        <f t="shared" ref="D35:Q35" si="13">SUM(D28:D33)*D34</f>
        <v>0</v>
      </c>
      <c r="E35" s="1338">
        <f t="shared" si="13"/>
        <v>0</v>
      </c>
      <c r="F35" s="1339">
        <f t="shared" si="13"/>
        <v>39580.343264210242</v>
      </c>
      <c r="G35" s="1339">
        <f t="shared" si="13"/>
        <v>39835.059282568116</v>
      </c>
      <c r="H35" s="1339">
        <f t="shared" si="13"/>
        <v>39580.597151059803</v>
      </c>
      <c r="I35" s="1339">
        <f t="shared" si="13"/>
        <v>39573.344523735133</v>
      </c>
      <c r="J35" s="1339">
        <f t="shared" si="13"/>
        <v>39231.701708647139</v>
      </c>
      <c r="K35" s="1339">
        <f t="shared" si="13"/>
        <v>38531.374961797468</v>
      </c>
      <c r="L35" s="1339">
        <f t="shared" si="13"/>
        <v>37837.83816052966</v>
      </c>
      <c r="M35" s="1339">
        <f t="shared" si="13"/>
        <v>37190.428253049286</v>
      </c>
      <c r="N35" s="1339">
        <f t="shared" si="13"/>
        <v>36672.866993544783</v>
      </c>
      <c r="O35" s="1339">
        <f t="shared" si="13"/>
        <v>36482.556994069862</v>
      </c>
      <c r="P35" s="1339">
        <f t="shared" si="13"/>
        <v>36270.287736988204</v>
      </c>
      <c r="Q35" s="1339">
        <f t="shared" si="13"/>
        <v>36195.670460900816</v>
      </c>
      <c r="R35" s="9"/>
      <c r="S35" s="9"/>
      <c r="T35" s="9"/>
      <c r="U35" s="9"/>
      <c r="V35" s="9"/>
    </row>
    <row r="36" spans="1:22">
      <c r="A36" s="1341"/>
      <c r="B36" s="1323"/>
      <c r="C36" s="1341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1339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4" t="s">
        <v>22</v>
      </c>
      <c r="B38" s="1845" t="s">
        <v>1328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4"/>
      <c r="B39" s="1846"/>
      <c r="C39" s="1342">
        <f>C27</f>
        <v>44348</v>
      </c>
      <c r="D39" s="1342">
        <f t="shared" ref="D39:E39" si="14">D27</f>
        <v>44378</v>
      </c>
      <c r="E39" s="1342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1329</v>
      </c>
      <c r="B40" s="684"/>
      <c r="C40" s="685"/>
      <c r="D40" s="686"/>
      <c r="E40" s="686"/>
      <c r="F40" s="65"/>
      <c r="G40" s="842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1330</v>
      </c>
      <c r="B41" s="684"/>
      <c r="C41" s="685"/>
      <c r="D41" s="686"/>
      <c r="E41" s="686"/>
      <c r="F41" s="65"/>
      <c r="G41" s="842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1331</v>
      </c>
      <c r="B42" s="684"/>
      <c r="C42" s="685"/>
      <c r="D42" s="686"/>
      <c r="E42" s="686"/>
      <c r="F42" s="65"/>
      <c r="G42" s="842"/>
      <c r="H42" s="682"/>
      <c r="I42" s="682"/>
      <c r="J42" s="682"/>
      <c r="K42" s="682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1332</v>
      </c>
      <c r="B43" s="684"/>
      <c r="C43" s="685"/>
      <c r="D43" s="686"/>
      <c r="E43" s="686"/>
      <c r="F43" s="65"/>
      <c r="G43" s="842"/>
      <c r="H43" s="682"/>
      <c r="I43" s="682"/>
      <c r="J43" s="682"/>
      <c r="K43" s="682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1333</v>
      </c>
      <c r="B44" s="684"/>
      <c r="C44" s="685"/>
      <c r="D44" s="686"/>
      <c r="E44" s="686"/>
      <c r="F44" s="65"/>
      <c r="G44" s="842"/>
      <c r="H44" s="682"/>
      <c r="I44" s="682"/>
      <c r="J44" s="682"/>
      <c r="K44" s="682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1334</v>
      </c>
      <c r="B45" s="684"/>
      <c r="C45" s="687"/>
      <c r="D45" s="840"/>
      <c r="E45" s="840"/>
      <c r="F45" s="65"/>
      <c r="G45" s="842"/>
      <c r="H45" s="682"/>
      <c r="I45" s="682"/>
      <c r="J45" s="682"/>
      <c r="K45" s="682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3" t="s">
        <v>8</v>
      </c>
      <c r="B49" s="1344"/>
      <c r="C49" s="1343"/>
      <c r="D49" s="9"/>
    </row>
    <row r="50" spans="1:10">
      <c r="A50" s="1344" t="s">
        <v>2</v>
      </c>
      <c r="B50" s="1344"/>
      <c r="C50" s="1320"/>
    </row>
    <row r="51" spans="1:10">
      <c r="A51" s="1344" t="s">
        <v>3</v>
      </c>
      <c r="B51" s="1344"/>
      <c r="C51" s="1320"/>
      <c r="D51" s="232"/>
    </row>
    <row r="52" spans="1:10">
      <c r="A52" s="1344" t="s">
        <v>4</v>
      </c>
      <c r="B52" s="1344"/>
      <c r="C52" s="1320"/>
      <c r="D52" s="232"/>
    </row>
    <row r="53" spans="1:10">
      <c r="A53" s="1344" t="s">
        <v>5</v>
      </c>
      <c r="B53" s="1344"/>
      <c r="C53" s="1320"/>
      <c r="D53" s="232"/>
    </row>
    <row r="54" spans="1:10">
      <c r="A54" s="1344" t="s">
        <v>6</v>
      </c>
      <c r="B54" s="1344"/>
      <c r="C54" s="1320"/>
      <c r="D54" s="232"/>
      <c r="H54" s="1345"/>
      <c r="I54" s="1346"/>
      <c r="J54" s="1347"/>
    </row>
    <row r="55" spans="1:10">
      <c r="A55" s="1344" t="s">
        <v>7</v>
      </c>
      <c r="B55" s="1344"/>
      <c r="C55" s="1320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C1" zoomScale="85" zoomScaleNormal="85" workbookViewId="0">
      <pane ySplit="3" topLeftCell="A28" activePane="bottomLeft" state="frozen"/>
      <selection activeCell="D36" sqref="D36"/>
      <selection pane="bottomLeft" activeCell="C39" sqref="C39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1340</v>
      </c>
      <c r="C1" s="258"/>
      <c r="D1" s="258"/>
      <c r="E1" s="204"/>
      <c r="F1" s="1348"/>
      <c r="G1" s="1129" t="s">
        <v>871</v>
      </c>
      <c r="H1" s="1130">
        <f ca="1">LnkTXTIRTEco</f>
        <v>0.1694</v>
      </c>
    </row>
    <row r="2" spans="2:26" ht="14.25">
      <c r="B2" s="136" t="str">
        <f>CAPA!C9</f>
        <v>Cejama</v>
      </c>
      <c r="C2" s="1349"/>
      <c r="D2" s="1349"/>
      <c r="E2" s="1349"/>
      <c r="F2" s="1350"/>
      <c r="G2" s="120" t="s">
        <v>875</v>
      </c>
      <c r="H2" s="121">
        <f ca="1">LnkTXTIRTTotal</f>
        <v>1.52E-2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7"/>
      <c r="P4" s="1847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1" t="s">
        <v>1341</v>
      </c>
      <c r="M6" s="1352"/>
      <c r="O6" s="267"/>
      <c r="P6" s="287"/>
      <c r="Z6" s="68"/>
    </row>
    <row r="7" spans="2:26" ht="14.25">
      <c r="C7" s="71"/>
      <c r="L7" s="212" t="s">
        <v>1192</v>
      </c>
      <c r="M7" s="213">
        <v>1</v>
      </c>
      <c r="O7" s="267"/>
      <c r="P7" s="287"/>
      <c r="Z7" s="68"/>
    </row>
    <row r="8" spans="2:26" ht="14.25">
      <c r="L8" s="212" t="s">
        <v>770</v>
      </c>
      <c r="M8" s="213">
        <v>2</v>
      </c>
      <c r="O8" s="267"/>
      <c r="P8" s="287"/>
      <c r="Z8" s="68"/>
    </row>
    <row r="9" spans="2:26" ht="14.25">
      <c r="B9" s="288" t="s">
        <v>1342</v>
      </c>
      <c r="D9" s="289" t="s">
        <v>1343</v>
      </c>
      <c r="L9" s="212" t="s">
        <v>1344</v>
      </c>
      <c r="M9" s="213">
        <v>4</v>
      </c>
      <c r="O9" s="267"/>
      <c r="P9" s="287"/>
      <c r="Z9" s="68"/>
    </row>
    <row r="10" spans="2:26" ht="14.25">
      <c r="L10" s="212" t="s">
        <v>1345</v>
      </c>
      <c r="M10" s="214">
        <f>CAPA!K16</f>
        <v>8.5874515481677571E-2</v>
      </c>
      <c r="O10" s="267"/>
      <c r="P10" s="287"/>
      <c r="Z10" s="68"/>
    </row>
    <row r="11" spans="2:26" ht="14.25">
      <c r="B11" s="1850" t="s">
        <v>1346</v>
      </c>
      <c r="C11" s="1851"/>
      <c r="D11" s="1353" t="s">
        <v>1347</v>
      </c>
      <c r="E11" s="1354" t="s">
        <v>1348</v>
      </c>
      <c r="F11" s="1355" t="s">
        <v>1349</v>
      </c>
      <c r="G11" s="1354"/>
      <c r="H11" s="1354"/>
      <c r="I11" s="1354"/>
      <c r="J11" s="1354"/>
      <c r="L11" s="212" t="s">
        <v>1350</v>
      </c>
      <c r="M11" s="214">
        <f>CAPA!K17</f>
        <v>8.727291292620043E-2</v>
      </c>
      <c r="O11" s="267"/>
      <c r="P11" s="287"/>
      <c r="Z11" s="68"/>
    </row>
    <row r="12" spans="2:26" ht="14.25">
      <c r="B12" s="1856" t="s">
        <v>1351</v>
      </c>
      <c r="C12" s="1851"/>
      <c r="D12" s="1356" t="s">
        <v>1344</v>
      </c>
      <c r="E12" s="1356" t="s">
        <v>770</v>
      </c>
      <c r="F12" s="1356" t="s">
        <v>770</v>
      </c>
      <c r="G12" s="1356" t="s">
        <v>770</v>
      </c>
      <c r="H12" s="1356" t="s">
        <v>770</v>
      </c>
      <c r="I12" s="1356" t="s">
        <v>770</v>
      </c>
      <c r="J12" s="1356" t="s">
        <v>770</v>
      </c>
      <c r="L12" s="1357" t="s">
        <v>1352</v>
      </c>
      <c r="M12" s="1358">
        <v>41275</v>
      </c>
      <c r="O12" s="267"/>
      <c r="P12" s="287"/>
      <c r="Z12" s="68"/>
    </row>
    <row r="13" spans="2:26" ht="14.25">
      <c r="B13" s="1857" t="s">
        <v>1353</v>
      </c>
      <c r="C13" s="1858"/>
      <c r="D13" s="1359">
        <v>43617</v>
      </c>
      <c r="E13" s="1359">
        <v>43617</v>
      </c>
      <c r="F13" s="1359">
        <v>43617</v>
      </c>
      <c r="G13" s="1359">
        <f t="shared" ref="G13:J14" si="0">F13</f>
        <v>43617</v>
      </c>
      <c r="H13" s="1359">
        <f t="shared" si="0"/>
        <v>43617</v>
      </c>
      <c r="I13" s="1359">
        <f t="shared" si="0"/>
        <v>43617</v>
      </c>
      <c r="J13" s="1359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48" t="s">
        <v>1354</v>
      </c>
      <c r="C14" s="1849"/>
      <c r="D14" s="1359">
        <v>42887</v>
      </c>
      <c r="E14" s="1359">
        <v>43252</v>
      </c>
      <c r="F14" s="1359">
        <v>43252</v>
      </c>
      <c r="G14" s="1359">
        <f t="shared" si="0"/>
        <v>43252</v>
      </c>
      <c r="H14" s="1359">
        <f t="shared" si="0"/>
        <v>43252</v>
      </c>
      <c r="I14" s="1359">
        <f t="shared" si="0"/>
        <v>43252</v>
      </c>
      <c r="J14" s="1359">
        <f t="shared" si="0"/>
        <v>43252</v>
      </c>
      <c r="L14" s="1360"/>
      <c r="M14" s="1361">
        <v>41334</v>
      </c>
      <c r="O14" s="267"/>
      <c r="P14" s="287"/>
      <c r="Z14" s="68"/>
    </row>
    <row r="15" spans="2:26" ht="14.25">
      <c r="B15" s="1848" t="s">
        <v>1355</v>
      </c>
      <c r="C15" s="1849"/>
      <c r="D15" s="1362">
        <f>VLOOKUP(D13,Índices!$B$6:$F$500,VLOOKUP(D12,$L$7:$M$9,2,FALSE)+1,FALSE)/VLOOKUP(D14,Índices!$B$6:$F$500,VLOOKUP(D12,$L$7:$M$9,2,FALSE)+1,FALSE)</f>
        <v>1.1414978440075982</v>
      </c>
      <c r="E15" s="1362">
        <f>VLOOKUP(E13,Índices!$B$6:$F$500,VLOOKUP(E12,$L$7:$M$9,2,FALSE)+1,FALSE)/VLOOKUP(E14,Índices!$B$6:$F$500,VLOOKUP(E12,$L$7:$M$9,2,FALSE)+1,FALSE)</f>
        <v>1.0336626715248016</v>
      </c>
      <c r="F15" s="1362">
        <f>VLOOKUP(F13,Índices!$B$6:$F$500,VLOOKUP(F12,$L$7:$M$9,2,FALSE)+1,FALSE)/VLOOKUP(F14,Índices!$B$6:$F$500,VLOOKUP(F12,$L$7:$M$9,2,FALSE)+1,FALSE)</f>
        <v>1.0336626715248016</v>
      </c>
      <c r="G15" s="1362">
        <f>VLOOKUP(G13,Índices!$B$6:$F$500,VLOOKUP(G12,$L$7:$M$9,2,FALSE)+1,FALSE)/VLOOKUP(G14,Índices!$B$6:$F$500,VLOOKUP(G12,$L$7:$M$9,2,FALSE)+1,FALSE)</f>
        <v>1.0336626715248016</v>
      </c>
      <c r="H15" s="1362">
        <f>VLOOKUP(H13,Índices!$B$6:$F$500,VLOOKUP(H12,$L$7:$M$9,2,FALSE)+1,FALSE)/VLOOKUP(H14,Índices!$B$6:$F$500,VLOOKUP(H12,$L$7:$M$9,2,FALSE)+1,FALSE)</f>
        <v>1.0336626715248016</v>
      </c>
      <c r="I15" s="1362">
        <f>VLOOKUP(I13,Índices!$B$6:$F$500,VLOOKUP(I12,$L$7:$M$9,2,FALSE)+1,FALSE)/VLOOKUP(I14,Índices!$B$6:$F$500,VLOOKUP(I12,$L$7:$M$9,2,FALSE)+1,FALSE)</f>
        <v>1.0336626715248016</v>
      </c>
      <c r="J15" s="1362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48" t="s">
        <v>1356</v>
      </c>
      <c r="C16" s="1849"/>
      <c r="D16" s="1363"/>
      <c r="E16" s="1363"/>
      <c r="F16" s="1363"/>
      <c r="G16" s="1363"/>
      <c r="H16" s="1363"/>
      <c r="I16" s="1363"/>
      <c r="J16" s="1363"/>
      <c r="O16" s="267"/>
      <c r="P16" s="287"/>
      <c r="Z16" s="68"/>
    </row>
    <row r="17" spans="1:26" ht="14.25">
      <c r="B17" s="1854" t="s">
        <v>1357</v>
      </c>
      <c r="C17" s="1855"/>
      <c r="D17" s="1364">
        <f t="shared" ref="D17:E17" si="1">D16*D15</f>
        <v>0</v>
      </c>
      <c r="E17" s="1364">
        <f t="shared" si="1"/>
        <v>0</v>
      </c>
      <c r="F17" s="1364">
        <f>F16*F15</f>
        <v>0</v>
      </c>
      <c r="G17" s="1364">
        <f>G16*G15</f>
        <v>0</v>
      </c>
      <c r="H17" s="1364">
        <f>H16*H15</f>
        <v>0</v>
      </c>
      <c r="I17" s="1364">
        <f>I16*I15</f>
        <v>0</v>
      </c>
      <c r="J17" s="1364">
        <f>J16*J15</f>
        <v>0</v>
      </c>
      <c r="O17" s="267"/>
      <c r="P17" s="92"/>
      <c r="Z17" s="68"/>
    </row>
    <row r="18" spans="1:26" ht="14.25">
      <c r="E18" s="290" t="s">
        <v>1358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1359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1360</v>
      </c>
      <c r="E20" s="291" t="s">
        <v>1361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5" t="s">
        <v>1346</v>
      </c>
      <c r="C22" s="1852" t="s">
        <v>2280</v>
      </c>
      <c r="D22" s="1853"/>
      <c r="E22" s="1865" t="s">
        <v>1362</v>
      </c>
      <c r="F22" s="1866"/>
      <c r="G22" s="1865" t="str">
        <f>Financeiros!C25</f>
        <v>Ajuste CUST RB Fronteira + PIS Cofins RB Fronteira</v>
      </c>
      <c r="H22" s="1866"/>
      <c r="I22" s="1869" t="s">
        <v>1174</v>
      </c>
      <c r="J22" s="1870"/>
      <c r="K22" s="1859" t="s">
        <v>1363</v>
      </c>
      <c r="L22" s="1860"/>
      <c r="M22" s="1861" t="s">
        <v>2157</v>
      </c>
      <c r="N22" s="1862"/>
      <c r="O22" s="1863" t="s">
        <v>1364</v>
      </c>
      <c r="P22" s="1864"/>
      <c r="Q22" s="1863" t="s">
        <v>192</v>
      </c>
      <c r="R22" s="1864"/>
      <c r="S22" s="1863" t="s">
        <v>2042</v>
      </c>
      <c r="T22" s="1864"/>
      <c r="U22" s="1863" t="s">
        <v>2043</v>
      </c>
      <c r="V22" s="1864"/>
      <c r="Z22" s="68"/>
    </row>
    <row r="23" spans="1:26" ht="14.25">
      <c r="B23" s="1366" t="s">
        <v>923</v>
      </c>
      <c r="C23" s="1367" t="s">
        <v>1365</v>
      </c>
      <c r="D23" s="1368" t="s">
        <v>770</v>
      </c>
      <c r="E23" s="1367" t="s">
        <v>1365</v>
      </c>
      <c r="F23" s="1368" t="s">
        <v>770</v>
      </c>
      <c r="G23" s="1367" t="s">
        <v>1365</v>
      </c>
      <c r="H23" s="1368" t="s">
        <v>770</v>
      </c>
      <c r="I23" s="1367" t="s">
        <v>1365</v>
      </c>
      <c r="J23" s="1368" t="s">
        <v>770</v>
      </c>
      <c r="K23" s="1367" t="s">
        <v>1365</v>
      </c>
      <c r="L23" s="1368" t="s">
        <v>1344</v>
      </c>
      <c r="M23" s="1369" t="s">
        <v>1365</v>
      </c>
      <c r="N23" s="1370" t="s">
        <v>1344</v>
      </c>
      <c r="O23" s="1369" t="s">
        <v>1365</v>
      </c>
      <c r="P23" s="1370" t="s">
        <v>770</v>
      </c>
      <c r="Q23" s="1369" t="s">
        <v>1365</v>
      </c>
      <c r="R23" s="1370" t="s">
        <v>770</v>
      </c>
      <c r="S23" s="1369" t="s">
        <v>1365</v>
      </c>
      <c r="T23" s="1370" t="s">
        <v>770</v>
      </c>
      <c r="U23" s="1369" t="s">
        <v>1365</v>
      </c>
      <c r="V23" s="1370" t="s">
        <v>770</v>
      </c>
      <c r="Z23" s="68"/>
    </row>
    <row r="24" spans="1:26" ht="14.25">
      <c r="B24" s="1371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4469.2</v>
      </c>
      <c r="D37" s="830">
        <f>VLOOKUP($B$48,Índices!$B$6:$F$500,VLOOKUP(D$23,$L$7:$M$9,2,FALSE)+1,FALSE)/VLOOKUP(DATE(YEAR($B37),MONTH($B37)-1,1),Índices!$B$6:$F$500,VLOOKUP(D$23,$L$7:$M$9,2,FALSE)+1,FALSE)*C37</f>
        <v>4859.2401024497749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41583.702806020752</v>
      </c>
      <c r="N37" s="830">
        <f>VLOOKUP($B$48,Índices!$B$6:$F$500,VLOOKUP(N$23,$L$7:$M$9,2,FALSE)+1,FALSE)/VLOOKUP(DATE(YEAR($B37),MONTH($B37)-1,1),Índices!$B$6:$F$500,VLOOKUP(N$23,$L$7:$M$9,2,FALSE)+1,FALSE)*M37</f>
        <v>45839.61926325204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28997.03</v>
      </c>
      <c r="D38" s="225">
        <f>VLOOKUP($B$48,Índices!$B$6:$F$500,VLOOKUP(D$23,$L$7:$M$9,2,FALSE)+1,FALSE)/VLOOKUP(DATE(YEAR($B38),MONTH($B38)-1,1),Índices!$B$6:$F$500,VLOOKUP(D$23,$L$7:$M$9,2,FALSE)+1,FALSE)*C38</f>
        <v>31166.169273309653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41583.702806020752</v>
      </c>
      <c r="N38" s="99">
        <f>VLOOKUP($B$48,Índices!$B$6:$F$500,VLOOKUP(N$23,$L$7:$M$9,2,FALSE)+1,FALSE)/VLOOKUP(DATE(YEAR($B38),MONTH($B38)-1,1),Índices!$B$6:$F$500,VLOOKUP(N$23,$L$7:$M$9,2,FALSE)+1,FALSE)*M38</f>
        <v>45637.900049785807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45332.1</v>
      </c>
      <c r="D39" s="225">
        <f>VLOOKUP($B$48,Índices!$B$6:$F$500,VLOOKUP(D$23,$L$7:$M$9,2,FALSE)+1,FALSE)/VLOOKUP(DATE(YEAR($B39),MONTH($B39)-1,1),Índices!$B$6:$F$500,VLOOKUP(D$23,$L$7:$M$9,2,FALSE)+1,FALSE)*C39</f>
        <v>48121.693529960066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41583.702806020752</v>
      </c>
      <c r="N39" s="99">
        <f>VLOOKUP($B$48,Índices!$B$6:$F$500,VLOOKUP(N$23,$L$7:$M$9,2,FALSE)+1,FALSE)/VLOOKUP(DATE(YEAR($B39),MONTH($B39)-1,1),Índices!$B$6:$F$500,VLOOKUP(N$23,$L$7:$M$9,2,FALSE)+1,FALSE)*M39</f>
        <v>45417.174352559086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51482.94</v>
      </c>
      <c r="D40" s="225">
        <f>VLOOKUP($B$48,Índices!$B$6:$F$500,VLOOKUP(D$23,$L$7:$M$9,2,FALSE)+1,FALSE)/VLOOKUP(DATE(YEAR($B40),MONTH($B40)-1,1),Índices!$B$6:$F$500,VLOOKUP(D$23,$L$7:$M$9,2,FALSE)+1,FALSE)*C40</f>
        <v>54136.700667380996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41583.702806020752</v>
      </c>
      <c r="N40" s="99">
        <f>VLOOKUP($B$48,Índices!$B$6:$F$500,VLOOKUP(N$23,$L$7:$M$9,2,FALSE)+1,FALSE)/VLOOKUP(DATE(YEAR($B40),MONTH($B40)-1,1),Índices!$B$6:$F$500,VLOOKUP(N$23,$L$7:$M$9,2,FALSE)+1,FALSE)*M40</f>
        <v>45152.243970188276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55798.17</v>
      </c>
      <c r="D41" s="225">
        <f>VLOOKUP($B$48,Índices!$B$6:$F$500,VLOOKUP(D$23,$L$7:$M$9,2,FALSE)+1,FALSE)/VLOOKUP(DATE(YEAR($B41),MONTH($B41)-1,1),Índices!$B$6:$F$500,VLOOKUP(D$23,$L$7:$M$9,2,FALSE)+1,FALSE)*C41</f>
        <v>58249.170653770234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41583.702806020752</v>
      </c>
      <c r="N41" s="99">
        <f>VLOOKUP($B$48,Índices!$B$6:$F$500,VLOOKUP(N$23,$L$7:$M$9,2,FALSE)+1,FALSE)/VLOOKUP(DATE(YEAR($B41),MONTH($B41)-1,1),Índices!$B$6:$F$500,VLOOKUP(N$23,$L$7:$M$9,2,FALSE)+1,FALSE)*M41</f>
        <v>44807.636022158935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75774.849999999991</v>
      </c>
      <c r="D42" s="225">
        <f>VLOOKUP($B$48,Índices!$B$6:$F$500,VLOOKUP(D$23,$L$7:$M$9,2,FALSE)+1,FALSE)/VLOOKUP(DATE(YEAR($B42),MONTH($B42)-1,1),Índices!$B$6:$F$500,VLOOKUP(D$23,$L$7:$M$9,2,FALSE)+1,FALSE)*C42</f>
        <v>78678.463328100173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41583.702806020752</v>
      </c>
      <c r="N42" s="99">
        <f>VLOOKUP($B$48,Índices!$B$6:$F$500,VLOOKUP(N$23,$L$7:$M$9,2,FALSE)+1,FALSE)/VLOOKUP(DATE(YEAR($B42),MONTH($B42)-1,1),Índices!$B$6:$F$500,VLOOKUP(N$23,$L$7:$M$9,2,FALSE)+1,FALSE)*M42</f>
        <v>44481.908208528068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16909.7</v>
      </c>
      <c r="D43" s="225">
        <f>VLOOKUP($B$48,Índices!$B$6:$F$500,VLOOKUP(D$23,$L$7:$M$9,2,FALSE)+1,FALSE)/VLOOKUP(DATE(YEAR($B43),MONTH($B43)-1,1),Índices!$B$6:$F$500,VLOOKUP(D$23,$L$7:$M$9,2,FALSE)+1,FALSE)*C43</f>
        <v>17382.092250500384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41583.702806020752</v>
      </c>
      <c r="N43" s="99">
        <f>VLOOKUP($B$48,Índices!$B$6:$F$500,VLOOKUP(N$23,$L$7:$M$9,2,FALSE)+1,FALSE)/VLOOKUP(DATE(YEAR($B43),MONTH($B43)-1,1),Índices!$B$6:$F$500,VLOOKUP(N$23,$L$7:$M$9,2,FALSE)+1,FALSE)*M43</f>
        <v>44148.568421752942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13906.81</v>
      </c>
      <c r="D44" s="225">
        <f>VLOOKUP($B$48,Índices!$B$6:$F$500,VLOOKUP(D$23,$L$7:$M$9,2,FALSE)+1,FALSE)/VLOOKUP(DATE(YEAR($B44),MONTH($B44)-1,1),Índices!$B$6:$F$500,VLOOKUP(D$23,$L$7:$M$9,2,FALSE)+1,FALSE)*C44</f>
        <v>14067.413857452504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-25087.919999999998</v>
      </c>
      <c r="H44" s="225">
        <f>VLOOKUP($B$48,Índices!$B$6:$F$500,VLOOKUP(H$23,$L$7:$M$9,2,FALSE)+1,FALSE)/VLOOKUP(DATE(YEAR($B44),MONTH($B44)-1,1),Índices!$B$6:$F$500,VLOOKUP(H$23,$L$7:$M$9,2,FALSE)+1,FALSE)*G44</f>
        <v>-25377.649760272834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41583.702806020752</v>
      </c>
      <c r="N44" s="99">
        <f>VLOOKUP($B$48,Índices!$B$6:$F$500,VLOOKUP(N$23,$L$7:$M$9,2,FALSE)+1,FALSE)/VLOOKUP(DATE(YEAR($B44),MONTH($B44)-1,1),Índices!$B$6:$F$500,VLOOKUP(N$23,$L$7:$M$9,2,FALSE)+1,FALSE)*M44</f>
        <v>43743.046816493472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8733.48</v>
      </c>
      <c r="D45" s="225">
        <f>VLOOKUP($B$48,Índices!$B$6:$F$500,VLOOKUP(D$23,$L$7:$M$9,2,FALSE)+1,FALSE)/VLOOKUP(DATE(YEAR($B45),MONTH($B45)-1,1),Índices!$B$6:$F$500,VLOOKUP(D$23,$L$7:$M$9,2,FALSE)+1,FALSE)*C45</f>
        <v>8741.6759155114923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-3823.44</v>
      </c>
      <c r="H45" s="225">
        <f>VLOOKUP($B$48,Índices!$B$6:$F$500,VLOOKUP(H$23,$L$7:$M$9,2,FALSE)+1,FALSE)/VLOOKUP(DATE(YEAR($B45),MONTH($B45)-1,1),Índices!$B$6:$F$500,VLOOKUP(H$23,$L$7:$M$9,2,FALSE)+1,FALSE)*G45</f>
        <v>-3827.0280990399315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41583.702806020752</v>
      </c>
      <c r="N45" s="99">
        <f>VLOOKUP($B$48,Índices!$B$6:$F$500,VLOOKUP(N$23,$L$7:$M$9,2,FALSE)+1,FALSE)/VLOOKUP(DATE(YEAR($B45),MONTH($B45)-1,1),Índices!$B$6:$F$500,VLOOKUP(N$23,$L$7:$M$9,2,FALSE)+1,FALSE)*M45</f>
        <v>43381.109318035102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12925.12</v>
      </c>
      <c r="D46" s="225">
        <f>VLOOKUP($B$48,Índices!$B$6:$F$500,VLOOKUP(D$23,$L$7:$M$9,2,FALSE)+1,FALSE)/VLOOKUP(DATE(YEAR($B46),MONTH($B46)-1,1),Índices!$B$6:$F$500,VLOOKUP(D$23,$L$7:$M$9,2,FALSE)+1,FALSE)*C46</f>
        <v>12876.727993413257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-8408.56</v>
      </c>
      <c r="H46" s="225">
        <f>VLOOKUP($B$48,Índices!$B$6:$F$500,VLOOKUP(H$23,$L$7:$M$9,2,FALSE)+1,FALSE)/VLOOKUP(DATE(YEAR($B46),MONTH($B46)-1,1),Índices!$B$6:$F$500,VLOOKUP(H$23,$L$7:$M$9,2,FALSE)+1,FALSE)*G46</f>
        <v>-8377.078118910691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0</v>
      </c>
      <c r="L46" s="225">
        <f>VLOOKUP($B$48,Índices!$B$6:$F$500,VLOOKUP(L$23,$L$7:$M$9,2,FALSE)+1,FALSE)/VLOOKUP(DATE(YEAR($B46),MONTH($B46)-1,1),Índices!$B$6:$F$500,VLOOKUP(L$23,$L$7:$M$9,2,FALSE)+1,FALSE)*K46</f>
        <v>0</v>
      </c>
      <c r="M46" s="407">
        <f>CVE!$I$14/12</f>
        <v>41583.702806020752</v>
      </c>
      <c r="N46" s="99">
        <f>VLOOKUP($B$48,Índices!$B$6:$F$500,VLOOKUP(N$23,$L$7:$M$9,2,FALSE)+1,FALSE)/VLOOKUP(DATE(YEAR($B46),MONTH($B46)-1,1),Índices!$B$6:$F$500,VLOOKUP(N$23,$L$7:$M$9,2,FALSE)+1,FALSE)*M46</f>
        <v>42936.887584567994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14605.68</v>
      </c>
      <c r="D47" s="225">
        <f>VLOOKUP($B$48,Índices!$B$6:$F$500,VLOOKUP(D$23,$L$7:$M$9,2,FALSE)+1,FALSE)/VLOOKUP(DATE(YEAR($B47),MONTH($B47)-1,1),Índices!$B$6:$F$500,VLOOKUP(D$23,$L$7:$M$9,2,FALSE)+1,FALSE)*C47</f>
        <v>14454.144811543018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0</v>
      </c>
      <c r="L47" s="225">
        <f>VLOOKUP($B$48,Índices!$B$6:$F$500,VLOOKUP(L$23,$L$7:$M$9,2,FALSE)+1,FALSE)/VLOOKUP(DATE(YEAR($B47),MONTH($B47)-1,1),Índices!$B$6:$F$500,VLOOKUP(L$23,$L$7:$M$9,2,FALSE)+1,FALSE)*K47</f>
        <v>0</v>
      </c>
      <c r="M47" s="407">
        <f>CVE!$I$14/12</f>
        <v>41583.702806020752</v>
      </c>
      <c r="N47" s="99">
        <f>VLOOKUP($B$48,Índices!$B$6:$F$500,VLOOKUP(N$23,$L$7:$M$9,2,FALSE)+1,FALSE)/VLOOKUP(DATE(YEAR($B47),MONTH($B47)-1,1),Índices!$B$6:$F$500,VLOOKUP(N$23,$L$7:$M$9,2,FALSE)+1,FALSE)*M47</f>
        <v>42505.324391392896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2">
        <f>DATE(YEAR(CAPA!$C$15),MONTH(CAPA!$C$15)-1,1)</f>
        <v>44774</v>
      </c>
      <c r="C48" s="293">
        <f>CAPA!C77</f>
        <v>18697.759999999998</v>
      </c>
      <c r="D48" s="225">
        <f>VLOOKUP($B$48,Índices!$B$6:$F$500,VLOOKUP(D$23,$L$7:$M$9,2,FALSE)+1,FALSE)/VLOOKUP(DATE(YEAR($B48),MONTH($B48)-1,1),Índices!$B$6:$F$500,VLOOKUP(D$23,$L$7:$M$9,2,FALSE)+1,FALSE)*C48</f>
        <v>18630.456870561997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41583.702806020752</v>
      </c>
      <c r="N48" s="99">
        <f>VLOOKUP($B$48,Índices!$B$6:$F$500,VLOOKUP(N$23,$L$7:$M$9,2,FALSE)+1,FALSE)/VLOOKUP(DATE(YEAR($B48),MONTH($B48)-1,1),Índices!$B$6:$F$500,VLOOKUP(N$23,$L$7:$M$9,2,FALSE)+1,FALSE)*M48</f>
        <v>42069.966525427255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3">
        <f t="shared" ref="C49:P49" si="3">SUM(C25:C48)</f>
        <v>347632.83999999997</v>
      </c>
      <c r="D49" s="1374">
        <f t="shared" si="3"/>
        <v>361363.94925395359</v>
      </c>
      <c r="E49" s="1373">
        <f t="shared" si="3"/>
        <v>0</v>
      </c>
      <c r="F49" s="1374">
        <f t="shared" si="3"/>
        <v>0</v>
      </c>
      <c r="G49" s="1373">
        <f t="shared" si="3"/>
        <v>-37319.919999999998</v>
      </c>
      <c r="H49" s="1374">
        <f t="shared" si="3"/>
        <v>-37581.75597822346</v>
      </c>
      <c r="I49" s="1375">
        <f>SUM(I24:I48)</f>
        <v>0</v>
      </c>
      <c r="J49" s="1375">
        <f>SUM(J24:J48)</f>
        <v>0</v>
      </c>
      <c r="K49" s="1376">
        <f t="shared" si="3"/>
        <v>0</v>
      </c>
      <c r="L49" s="1377">
        <f t="shared" si="3"/>
        <v>0</v>
      </c>
      <c r="M49" s="1378">
        <f t="shared" si="3"/>
        <v>499004.43367224891</v>
      </c>
      <c r="N49" s="1379">
        <f t="shared" si="3"/>
        <v>530121.38492414192</v>
      </c>
      <c r="O49" s="1378">
        <f t="shared" si="3"/>
        <v>0</v>
      </c>
      <c r="P49" s="1379">
        <f t="shared" si="3"/>
        <v>0</v>
      </c>
      <c r="Q49" s="1378">
        <f t="shared" ref="Q49:R49" si="4">SUM(Q25:Q48)</f>
        <v>0</v>
      </c>
      <c r="R49" s="1379">
        <f t="shared" si="4"/>
        <v>0</v>
      </c>
      <c r="S49" s="1378">
        <f>-S51</f>
        <v>0</v>
      </c>
      <c r="T49" s="1379">
        <f t="shared" ref="T49:V49" si="5">SUM(T25:T48)</f>
        <v>0</v>
      </c>
      <c r="U49" s="1378">
        <f>-S52</f>
        <v>0</v>
      </c>
      <c r="V49" s="1379">
        <f t="shared" si="5"/>
        <v>0</v>
      </c>
      <c r="Z49" s="68"/>
    </row>
    <row r="50" spans="2:30" ht="14.25">
      <c r="J50" s="68" t="s">
        <v>846</v>
      </c>
      <c r="M50" s="198"/>
      <c r="N50" s="107"/>
      <c r="S50" s="1312"/>
      <c r="T50" s="68" t="s">
        <v>1366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7" t="s">
        <v>2085</v>
      </c>
      <c r="D53" s="1868"/>
      <c r="E53" s="1867" t="s">
        <v>1367</v>
      </c>
      <c r="F53" s="1868"/>
      <c r="G53" s="1867" t="s">
        <v>1368</v>
      </c>
      <c r="H53" s="1868"/>
      <c r="I53" s="1867" t="s">
        <v>1369</v>
      </c>
      <c r="J53" s="1868"/>
      <c r="K53" s="1865" t="s">
        <v>1370</v>
      </c>
      <c r="L53" s="1866"/>
      <c r="M53" s="1867" t="s">
        <v>1371</v>
      </c>
      <c r="N53" s="1868"/>
      <c r="O53" s="1867" t="s">
        <v>2087</v>
      </c>
      <c r="P53" s="1868"/>
      <c r="Q53" s="1867" t="s">
        <v>2088</v>
      </c>
      <c r="R53" s="1868"/>
      <c r="S53" s="1867" t="s">
        <v>1372</v>
      </c>
      <c r="T53" s="1868"/>
      <c r="U53" s="1867" t="s">
        <v>1373</v>
      </c>
      <c r="V53" s="1868"/>
      <c r="W53" s="1867" t="s">
        <v>36</v>
      </c>
      <c r="X53" s="1868"/>
      <c r="Z53" s="68"/>
    </row>
    <row r="54" spans="2:30" ht="14.25">
      <c r="C54" s="1369" t="s">
        <v>1365</v>
      </c>
      <c r="D54" s="1370" t="s">
        <v>770</v>
      </c>
      <c r="E54" s="1369" t="s">
        <v>1365</v>
      </c>
      <c r="F54" s="1370" t="s">
        <v>770</v>
      </c>
      <c r="G54" s="1369" t="s">
        <v>1365</v>
      </c>
      <c r="H54" s="1370" t="s">
        <v>770</v>
      </c>
      <c r="I54" s="1369" t="s">
        <v>1365</v>
      </c>
      <c r="J54" s="1370" t="s">
        <v>770</v>
      </c>
      <c r="K54" s="1367" t="s">
        <v>1365</v>
      </c>
      <c r="L54" s="1368" t="s">
        <v>770</v>
      </c>
      <c r="M54" s="1369" t="s">
        <v>1365</v>
      </c>
      <c r="N54" s="1370" t="s">
        <v>770</v>
      </c>
      <c r="O54" s="1369" t="s">
        <v>1365</v>
      </c>
      <c r="P54" s="1370" t="s">
        <v>770</v>
      </c>
      <c r="Q54" s="1369" t="s">
        <v>1365</v>
      </c>
      <c r="R54" s="1370" t="s">
        <v>770</v>
      </c>
      <c r="S54" s="1369" t="s">
        <v>1365</v>
      </c>
      <c r="T54" s="1370" t="s">
        <v>770</v>
      </c>
      <c r="U54" s="1369" t="s">
        <v>1365</v>
      </c>
      <c r="V54" s="1370" t="s">
        <v>770</v>
      </c>
      <c r="W54" s="1369" t="s">
        <v>1365</v>
      </c>
      <c r="X54" s="1380" t="s">
        <v>1344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1691.0851416020068</v>
      </c>
      <c r="F68" s="99">
        <f ca="1">VLOOKUP($B$79,Índices!$B$6:$F$500,VLOOKUP(F$54,$L$7:$M$9,2,FALSE)+1,FALSE)/VLOOKUP(DATE(YEAR($B68),MONTH($B68)-1,1),Índices!$B$6:$F$500,VLOOKUP(F$54,$L$7:$M$9,2,FALSE)+1,FALSE)*E68</f>
        <v>1838.67106791583</v>
      </c>
      <c r="G68" s="207">
        <f ca="1">Encargos!E31</f>
        <v>425.23150298117935</v>
      </c>
      <c r="H68" s="225">
        <f ca="1">VLOOKUP($B$48,Índices!$B$6:$F$500,VLOOKUP(H$54,$L$7:$M$9,2,FALSE)+1,FALSE)/VLOOKUP(DATE(YEAR($B68),MONTH($B68)-1,1),Índices!$B$6:$F$500,VLOOKUP(H$54,$L$7:$M$9,2,FALSE)+1,FALSE)*G68</f>
        <v>462.34269491433315</v>
      </c>
      <c r="I68" s="207">
        <f ca="1">Encargos!F31</f>
        <v>22944.205096793739</v>
      </c>
      <c r="J68" s="225">
        <f ca="1">VLOOKUP($B$48,Índices!$B$6:$F$500,VLOOKUP(J$54,$L$7:$M$9,2,FALSE)+1,FALSE)/VLOOKUP(DATE(YEAR($B68),MONTH($B68)-1,1),Índices!$B$6:$F$500,VLOOKUP(J$54,$L$7:$M$9,2,FALSE)+1,FALSE)*I68</f>
        <v>24946.612710367102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3612.3474298546134</v>
      </c>
      <c r="N68" s="225">
        <f ca="1">VLOOKUP($B$48,Índices!$B$6:$F$500,VLOOKUP(N$54,$L$7:$M$9,2,FALSE)+1,FALSE)/VLOOKUP(DATE(YEAR($B68),MONTH($B68)-1,1),Índices!$B$6:$F$500,VLOOKUP(N$54,$L$7:$M$9,2,FALSE)+1,FALSE)*M68</f>
        <v>3927.6075125594989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1480.7810163340837</v>
      </c>
      <c r="F69" s="99">
        <f ca="1">VLOOKUP($B$79,Índices!$B$6:$F$500,VLOOKUP(F$54,$L$7:$M$9,2,FALSE)+1,FALSE)/VLOOKUP(DATE(YEAR($B69),MONTH($B69)-1,1),Índices!$B$6:$F$500,VLOOKUP(F$54,$L$7:$M$9,2,FALSE)+1,FALSE)*E69</f>
        <v>1591.5516800090065</v>
      </c>
      <c r="G69" s="207">
        <f ca="1">Encargos!E32</f>
        <v>369.89643060073513</v>
      </c>
      <c r="H69" s="225">
        <f ca="1">VLOOKUP($B$48,Índices!$B$6:$F$500,VLOOKUP(H$54,$L$7:$M$9,2,FALSE)+1,FALSE)/VLOOKUP(DATE(YEAR($B69),MONTH($B69)-1,1),Índices!$B$6:$F$500,VLOOKUP(H$54,$L$7:$M$9,2,FALSE)+1,FALSE)*G69</f>
        <v>397.56674285937379</v>
      </c>
      <c r="I69" s="207">
        <f ca="1">Encargos!F32</f>
        <v>20261.234671816521</v>
      </c>
      <c r="J69" s="225">
        <f ca="1">VLOOKUP($B$48,Índices!$B$6:$F$500,VLOOKUP(J$54,$L$7:$M$9,2,FALSE)+1,FALSE)/VLOOKUP(DATE(YEAR($B69),MONTH($B69)-1,1),Índices!$B$6:$F$500,VLOOKUP(J$54,$L$7:$M$9,2,FALSE)+1,FALSE)*I69</f>
        <v>21776.887821548768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3195.6171119301325</v>
      </c>
      <c r="N69" s="225">
        <f ca="1">VLOOKUP($B$48,Índices!$B$6:$F$500,VLOOKUP(N$54,$L$7:$M$9,2,FALSE)+1,FALSE)/VLOOKUP(DATE(YEAR($B69),MONTH($B69)-1,1),Índices!$B$6:$F$500,VLOOKUP(N$54,$L$7:$M$9,2,FALSE)+1,FALSE)*M69</f>
        <v>3434.6670622163524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651.96309713777009</v>
      </c>
      <c r="F70" s="99">
        <f ca="1">VLOOKUP($B$79,Índices!$B$6:$F$500,VLOOKUP(F$54,$L$7:$M$9,2,FALSE)+1,FALSE)/VLOOKUP(DATE(YEAR($B70),MONTH($B70)-1,1),Índices!$B$6:$F$500,VLOOKUP(F$54,$L$7:$M$9,2,FALSE)+1,FALSE)*E70</f>
        <v>692.08283651777344</v>
      </c>
      <c r="G70" s="207">
        <f ca="1">Encargos!E33</f>
        <v>167.87504645380432</v>
      </c>
      <c r="H70" s="225">
        <f ca="1">VLOOKUP($B$48,Índices!$B$6:$F$500,VLOOKUP(H$54,$L$7:$M$9,2,FALSE)+1,FALSE)/VLOOKUP(DATE(YEAR($B70),MONTH($B70)-1,1),Índices!$B$6:$F$500,VLOOKUP(H$54,$L$7:$M$9,2,FALSE)+1,FALSE)*G70</f>
        <v>178.20554390327783</v>
      </c>
      <c r="I70" s="207">
        <f ca="1">Encargos!F33</f>
        <v>9091.5795318615565</v>
      </c>
      <c r="J70" s="225">
        <f ca="1">VLOOKUP($B$48,Índices!$B$6:$F$500,VLOOKUP(J$54,$L$7:$M$9,2,FALSE)+1,FALSE)/VLOOKUP(DATE(YEAR($B70),MONTH($B70)-1,1),Índices!$B$6:$F$500,VLOOKUP(J$54,$L$7:$M$9,2,FALSE)+1,FALSE)*I70</f>
        <v>9651.0464755769008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1420.7595469140033</v>
      </c>
      <c r="N70" s="225">
        <f ca="1">VLOOKUP($B$48,Índices!$B$6:$F$500,VLOOKUP(N$54,$L$7:$M$9,2,FALSE)+1,FALSE)/VLOOKUP(DATE(YEAR($B70),MONTH($B70)-1,1),Índices!$B$6:$F$500,VLOOKUP(N$54,$L$7:$M$9,2,FALSE)+1,FALSE)*M70</f>
        <v>1508.1885793148915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16.526301030347895</v>
      </c>
      <c r="F71" s="99">
        <f ca="1">VLOOKUP($B$79,Índices!$B$6:$F$500,VLOOKUP(F$54,$L$7:$M$9,2,FALSE)+1,FALSE)/VLOOKUP(DATE(YEAR($B71),MONTH($B71)-1,1),Índices!$B$6:$F$500,VLOOKUP(F$54,$L$7:$M$9,2,FALSE)+1,FALSE)*E71</f>
        <v>17.378172497898799</v>
      </c>
      <c r="G71" s="207">
        <f ca="1">Encargos!E34</f>
        <v>42.823176774143576</v>
      </c>
      <c r="H71" s="225">
        <f ca="1">VLOOKUP($B$48,Índices!$B$6:$F$500,VLOOKUP(H$54,$L$7:$M$9,2,FALSE)+1,FALSE)/VLOOKUP(DATE(YEAR($B71),MONTH($B71)-1,1),Índices!$B$6:$F$500,VLOOKUP(H$54,$L$7:$M$9,2,FALSE)+1,FALSE)*G71</f>
        <v>45.030557746860467</v>
      </c>
      <c r="I71" s="207">
        <f ca="1">Encargos!F34</f>
        <v>1028.6800368322583</v>
      </c>
      <c r="J71" s="225">
        <f ca="1">VLOOKUP($B$48,Índices!$B$6:$F$500,VLOOKUP(J$54,$L$7:$M$9,2,FALSE)+1,FALSE)/VLOOKUP(DATE(YEAR($B71),MONTH($B71)-1,1),Índices!$B$6:$F$500,VLOOKUP(J$54,$L$7:$M$9,2,FALSE)+1,FALSE)*I71</f>
        <v>1081.704798453593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62.28256833481646</v>
      </c>
      <c r="N71" s="225">
        <f ca="1">VLOOKUP($B$48,Índices!$B$6:$F$500,VLOOKUP(N$54,$L$7:$M$9,2,FALSE)+1,FALSE)/VLOOKUP(DATE(YEAR($B71),MONTH($B71)-1,1),Índices!$B$6:$F$500,VLOOKUP(N$54,$L$7:$M$9,2,FALSE)+1,FALSE)*M71</f>
        <v>65.493011058375075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-704.26786081581849</v>
      </c>
      <c r="F72" s="99">
        <f ca="1">VLOOKUP($B$79,Índices!$B$6:$F$500,VLOOKUP(F$54,$L$7:$M$9,2,FALSE)+1,FALSE)/VLOOKUP(DATE(YEAR($B72),MONTH($B72)-1,1),Índices!$B$6:$F$500,VLOOKUP(F$54,$L$7:$M$9,2,FALSE)+1,FALSE)*E72</f>
        <v>-735.20366009541738</v>
      </c>
      <c r="G72" s="207">
        <f ca="1">Encargos!E35</f>
        <v>-86.594674755617689</v>
      </c>
      <c r="H72" s="225">
        <f ca="1">VLOOKUP($B$48,Índices!$B$6:$F$500,VLOOKUP(H$54,$L$7:$M$9,2,FALSE)+1,FALSE)/VLOOKUP(DATE(YEAR($B72),MONTH($B72)-1,1),Índices!$B$6:$F$500,VLOOKUP(H$54,$L$7:$M$9,2,FALSE)+1,FALSE)*G72</f>
        <v>-90.398448328102944</v>
      </c>
      <c r="I72" s="207">
        <f ca="1">Encargos!F35</f>
        <v>-7704.3986932904809</v>
      </c>
      <c r="J72" s="225">
        <f ca="1">VLOOKUP($B$48,Índices!$B$6:$F$500,VLOOKUP(J$54,$L$7:$M$9,2,FALSE)+1,FALSE)/VLOOKUP(DATE(YEAR($B72),MONTH($B72)-1,1),Índices!$B$6:$F$500,VLOOKUP(J$54,$L$7:$M$9,2,FALSE)+1,FALSE)*I72</f>
        <v>-8042.8235239643454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-1446.1655021366932</v>
      </c>
      <c r="N72" s="225">
        <f ca="1">VLOOKUP($B$48,Índices!$B$6:$F$500,VLOOKUP(N$54,$L$7:$M$9,2,FALSE)+1,FALSE)/VLOOKUP(DATE(YEAR($B72),MONTH($B72)-1,1),Índices!$B$6:$F$500,VLOOKUP(N$54,$L$7:$M$9,2,FALSE)+1,FALSE)*M72</f>
        <v>-1509.6900333390067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-2941.7817686141243</v>
      </c>
      <c r="F73" s="99">
        <f ca="1">VLOOKUP($B$79,Índices!$B$6:$F$500,VLOOKUP(F$54,$L$7:$M$9,2,FALSE)+1,FALSE)/VLOOKUP(DATE(YEAR($B73),MONTH($B73)-1,1),Índices!$B$6:$F$500,VLOOKUP(F$54,$L$7:$M$9,2,FALSE)+1,FALSE)*E73</f>
        <v>-3054.5077819511366</v>
      </c>
      <c r="G73" s="207">
        <f ca="1">Encargos!E36</f>
        <v>-556.65076157763451</v>
      </c>
      <c r="H73" s="225">
        <f ca="1">VLOOKUP($B$48,Índices!$B$6:$F$500,VLOOKUP(H$54,$L$7:$M$9,2,FALSE)+1,FALSE)/VLOOKUP(DATE(YEAR($B73),MONTH($B73)-1,1),Índices!$B$6:$F$500,VLOOKUP(H$54,$L$7:$M$9,2,FALSE)+1,FALSE)*G73</f>
        <v>-577.98103897724582</v>
      </c>
      <c r="I73" s="207">
        <f ca="1">Encargos!F36</f>
        <v>-36113.428519798152</v>
      </c>
      <c r="J73" s="225">
        <f ca="1">VLOOKUP($B$48,Índices!$B$6:$F$500,VLOOKUP(J$54,$L$7:$M$9,2,FALSE)+1,FALSE)/VLOOKUP(DATE(YEAR($B73),MONTH($B73)-1,1),Índices!$B$6:$F$500,VLOOKUP(J$54,$L$7:$M$9,2,FALSE)+1,FALSE)*I73</f>
        <v>-37497.257486447103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-6157.6017908746871</v>
      </c>
      <c r="N73" s="225">
        <f ca="1">VLOOKUP($B$48,Índices!$B$6:$F$500,VLOOKUP(N$54,$L$7:$M$9,2,FALSE)+1,FALSE)/VLOOKUP(DATE(YEAR($B73),MONTH($B73)-1,1),Índices!$B$6:$F$500,VLOOKUP(N$54,$L$7:$M$9,2,FALSE)+1,FALSE)*M73</f>
        <v>-6393.554678001713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-5005.1212496547705</v>
      </c>
      <c r="F74" s="99">
        <f ca="1">VLOOKUP($B$79,Índices!$B$6:$F$500,VLOOKUP(F$54,$L$7:$M$9,2,FALSE)+1,FALSE)/VLOOKUP(DATE(YEAR($B74),MONTH($B74)-1,1),Índices!$B$6:$F$500,VLOOKUP(F$54,$L$7:$M$9,2,FALSE)+1,FALSE)*E74</f>
        <v>-5144.9451667645781</v>
      </c>
      <c r="G74" s="207">
        <f ca="1">Encargos!E37</f>
        <v>-753.10462437388833</v>
      </c>
      <c r="H74" s="225">
        <f ca="1">VLOOKUP($B$48,Índices!$B$6:$F$500,VLOOKUP(H$54,$L$7:$M$9,2,FALSE)+1,FALSE)/VLOOKUP(DATE(YEAR($B74),MONTH($B74)-1,1),Índices!$B$6:$F$500,VLOOKUP(H$54,$L$7:$M$9,2,FALSE)+1,FALSE)*G74</f>
        <v>-774.1434830390466</v>
      </c>
      <c r="I74" s="207">
        <f ca="1">Encargos!F37</f>
        <v>-58936.883687233611</v>
      </c>
      <c r="J74" s="225">
        <f ca="1">VLOOKUP($B$48,Índices!$B$6:$F$500,VLOOKUP(J$54,$L$7:$M$9,2,FALSE)+1,FALSE)/VLOOKUP(DATE(YEAR($B74),MONTH($B74)-1,1),Índices!$B$6:$F$500,VLOOKUP(J$54,$L$7:$M$9,2,FALSE)+1,FALSE)*I74</f>
        <v>-60583.354477519162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-10577.468212774766</v>
      </c>
      <c r="N74" s="225">
        <f ca="1">VLOOKUP($B$48,Índices!$B$6:$F$500,VLOOKUP(N$54,$L$7:$M$9,2,FALSE)+1,FALSE)/VLOOKUP(DATE(YEAR($B74),MONTH($B74)-1,1),Índices!$B$6:$F$500,VLOOKUP(N$54,$L$7:$M$9,2,FALSE)+1,FALSE)*M74</f>
        <v>-10872.962160841789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-2959.9880817486192</v>
      </c>
      <c r="F75" s="99">
        <f ca="1">VLOOKUP($B$79,Índices!$B$6:$F$500,VLOOKUP(F$54,$L$7:$M$9,2,FALSE)+1,FALSE)/VLOOKUP(DATE(YEAR($B75),MONTH($B75)-1,1),Índices!$B$6:$F$500,VLOOKUP(F$54,$L$7:$M$9,2,FALSE)+1,FALSE)*E75</f>
        <v>-2994.1717301872091</v>
      </c>
      <c r="G75" s="207">
        <f ca="1">Encargos!E38</f>
        <v>-403.98878611248938</v>
      </c>
      <c r="H75" s="225">
        <f ca="1">VLOOKUP($B$48,Índices!$B$6:$F$500,VLOOKUP(H$54,$L$7:$M$9,2,FALSE)+1,FALSE)/VLOOKUP(DATE(YEAR($B75),MONTH($B75)-1,1),Índices!$B$6:$F$500,VLOOKUP(H$54,$L$7:$M$9,2,FALSE)+1,FALSE)*G75</f>
        <v>-408.65428146456657</v>
      </c>
      <c r="I75" s="207">
        <f ca="1">Encargos!F38</f>
        <v>-33784.833667684812</v>
      </c>
      <c r="J75" s="225">
        <f ca="1">VLOOKUP($B$48,Índices!$B$6:$F$500,VLOOKUP(J$54,$L$7:$M$9,2,FALSE)+1,FALSE)/VLOOKUP(DATE(YEAR($B75),MONTH($B75)-1,1),Índices!$B$6:$F$500,VLOOKUP(J$54,$L$7:$M$9,2,FALSE)+1,FALSE)*I75</f>
        <v>-34175.000399697507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-6194.2763998347509</v>
      </c>
      <c r="N75" s="225">
        <f ca="1">VLOOKUP($B$48,Índices!$B$6:$F$500,VLOOKUP(N$54,$L$7:$M$9,2,FALSE)+1,FALSE)/VLOOKUP(DATE(YEAR($B75),MONTH($B75)-1,1),Índices!$B$6:$F$500,VLOOKUP(N$54,$L$7:$M$9,2,FALSE)+1,FALSE)*M75</f>
        <v>-6265.8114739416433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-1875.538542430877</v>
      </c>
      <c r="F76" s="99">
        <f ca="1">VLOOKUP($B$79,Índices!$B$6:$F$500,VLOOKUP(F$54,$L$7:$M$9,2,FALSE)+1,FALSE)/VLOOKUP(DATE(YEAR($B76),MONTH($B76)-1,1),Índices!$B$6:$F$500,VLOOKUP(F$54,$L$7:$M$9,2,FALSE)+1,FALSE)*E76</f>
        <v>-1877.2986375398496</v>
      </c>
      <c r="G76" s="207">
        <f ca="1">Encargos!E39</f>
        <v>-137.66442310313232</v>
      </c>
      <c r="H76" s="225">
        <f ca="1">VLOOKUP($B$48,Índices!$B$6:$F$500,VLOOKUP(H$54,$L$7:$M$9,2,FALSE)+1,FALSE)/VLOOKUP(DATE(YEAR($B76),MONTH($B76)-1,1),Índices!$B$6:$F$500,VLOOKUP(H$54,$L$7:$M$9,2,FALSE)+1,FALSE)*G76</f>
        <v>-137.7936139847387</v>
      </c>
      <c r="I76" s="207">
        <f ca="1">Encargos!F39</f>
        <v>-19245.622229143075</v>
      </c>
      <c r="J76" s="225">
        <f ca="1">VLOOKUP($B$48,Índices!$B$6:$F$500,VLOOKUP(J$54,$L$7:$M$9,2,FALSE)+1,FALSE)/VLOOKUP(DATE(YEAR($B76),MONTH($B76)-1,1),Índices!$B$6:$F$500,VLOOKUP(J$54,$L$7:$M$9,2,FALSE)+1,FALSE)*I76</f>
        <v>-19263.683241907303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-3888.6845474574075</v>
      </c>
      <c r="N76" s="225">
        <f ca="1">VLOOKUP($B$48,Índices!$B$6:$F$500,VLOOKUP(N$54,$L$7:$M$9,2,FALSE)+1,FALSE)/VLOOKUP(DATE(YEAR($B76),MONTH($B76)-1,1),Índices!$B$6:$F$500,VLOOKUP(N$54,$L$7:$M$9,2,FALSE)+1,FALSE)*M76</f>
        <v>-3892.3338751024935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-994.60925228457199</v>
      </c>
      <c r="F77" s="99">
        <f ca="1">VLOOKUP($B$79,Índices!$B$6:$F$500,VLOOKUP(F$54,$L$7:$M$9,2,FALSE)+1,FALSE)/VLOOKUP(DATE(YEAR($B77),MONTH($B77)-1,1),Índices!$B$6:$F$500,VLOOKUP(F$54,$L$7:$M$9,2,FALSE)+1,FALSE)*E77</f>
        <v>-990.88540774867658</v>
      </c>
      <c r="G77" s="207">
        <f ca="1">Encargos!E40</f>
        <v>-27.088375164468289</v>
      </c>
      <c r="H77" s="225">
        <f ca="1">VLOOKUP($B$48,Índices!$B$6:$F$500,VLOOKUP(H$54,$L$7:$M$9,2,FALSE)+1,FALSE)/VLOOKUP(DATE(YEAR($B77),MONTH($B77)-1,1),Índices!$B$6:$F$500,VLOOKUP(H$54,$L$7:$M$9,2,FALSE)+1,FALSE)*G77</f>
        <v>-26.986955539011568</v>
      </c>
      <c r="I77" s="207">
        <f ca="1">Encargos!F40</f>
        <v>-8954.8132564433035</v>
      </c>
      <c r="J77" s="225">
        <f ca="1">VLOOKUP($B$48,Índices!$B$6:$F$500,VLOOKUP(J$54,$L$7:$M$9,2,FALSE)+1,FALSE)/VLOOKUP(DATE(YEAR($B77),MONTH($B77)-1,1),Índices!$B$6:$F$500,VLOOKUP(J$54,$L$7:$M$9,2,FALSE)+1,FALSE)*I77</f>
        <v>-8921.2861880610471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-1984.4145327430306</v>
      </c>
      <c r="N77" s="225">
        <f ca="1">VLOOKUP($B$48,Índices!$B$6:$F$500,VLOOKUP(N$54,$L$7:$M$9,2,FALSE)+1,FALSE)/VLOOKUP(DATE(YEAR($B77),MONTH($B77)-1,1),Índices!$B$6:$F$500,VLOOKUP(N$54,$L$7:$M$9,2,FALSE)+1,FALSE)*M77</f>
        <v>-1976.9848298745594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-663.45487057350147</v>
      </c>
      <c r="F78" s="99">
        <f ca="1">VLOOKUP($B$79,Índices!$B$6:$F$500,VLOOKUP(F$54,$L$7:$M$9,2,FALSE)+1,FALSE)/VLOOKUP(DATE(YEAR($B78),MONTH($B78)-1,1),Índices!$B$6:$F$500,VLOOKUP(F$54,$L$7:$M$9,2,FALSE)+1,FALSE)*E78</f>
        <v>-656.57146912659459</v>
      </c>
      <c r="G78" s="207">
        <f ca="1">Encargos!E41</f>
        <v>39.733632591462992</v>
      </c>
      <c r="H78" s="225">
        <f ca="1">VLOOKUP($B$48,Índices!$B$6:$F$500,VLOOKUP(H$54,$L$7:$M$9,2,FALSE)+1,FALSE)/VLOOKUP(DATE(YEAR($B78),MONTH($B78)-1,1),Índices!$B$6:$F$500,VLOOKUP(H$54,$L$7:$M$9,2,FALSE)+1,FALSE)*G78</f>
        <v>39.32139272979083</v>
      </c>
      <c r="I78" s="207">
        <f ca="1">Encargos!F41</f>
        <v>-4623.6011873588723</v>
      </c>
      <c r="J78" s="225">
        <f ca="1">VLOOKUP($B$48,Índices!$B$6:$F$500,VLOOKUP(J$54,$L$7:$M$9,2,FALSE)+1,FALSE)/VLOOKUP(DATE(YEAR($B78),MONTH($B78)-1,1),Índices!$B$6:$F$500,VLOOKUP(J$54,$L$7:$M$9,2,FALSE)+1,FALSE)*I78</f>
        <v>-4575.630926660544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-1260.6331839821833</v>
      </c>
      <c r="N78" s="225">
        <f ca="1">VLOOKUP($B$48,Índices!$B$6:$F$500,VLOOKUP(N$54,$L$7:$M$9,2,FALSE)+1,FALSE)/VLOOKUP(DATE(YEAR($B78),MONTH($B78)-1,1),Índices!$B$6:$F$500,VLOOKUP(N$54,$L$7:$M$9,2,FALSE)+1,FALSE)*M78</f>
        <v>-1247.554006079486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-663.45487057350147</v>
      </c>
      <c r="F79" s="99">
        <f ca="1">VLOOKUP($B$79,Índices!$B$6:$F$500,VLOOKUP(F$54,$L$7:$M$9,2,FALSE)+1,FALSE)/VLOOKUP(DATE(YEAR($B79),MONTH($B79)-1,1),Índices!$B$6:$F$500,VLOOKUP(F$54,$L$7:$M$9,2,FALSE)+1,FALSE)*E79</f>
        <v>-661.06674552373715</v>
      </c>
      <c r="G79" s="207">
        <f ca="1">Encargos!E42</f>
        <v>39.733632591462992</v>
      </c>
      <c r="H79" s="225">
        <f ca="1">VLOOKUP($B$48,Índices!$B$6:$F$500,VLOOKUP(H$54,$L$7:$M$9,2,FALSE)+1,FALSE)/VLOOKUP(DATE(YEAR($B79),MONTH($B79)-1,1),Índices!$B$6:$F$500,VLOOKUP(H$54,$L$7:$M$9,2,FALSE)+1,FALSE)*G79</f>
        <v>39.590610228498377</v>
      </c>
      <c r="I79" s="207">
        <f ca="1">Encargos!F42</f>
        <v>-4623.6011873588723</v>
      </c>
      <c r="J79" s="225">
        <f ca="1">VLOOKUP($B$48,Índices!$B$6:$F$500,VLOOKUP(J$54,$L$7:$M$9,2,FALSE)+1,FALSE)/VLOOKUP(DATE(YEAR($B79),MONTH($B79)-1,1),Índices!$B$6:$F$500,VLOOKUP(J$54,$L$7:$M$9,2,FALSE)+1,FALSE)*I79</f>
        <v>-4606.958400780024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-1260.6331839821833</v>
      </c>
      <c r="N79" s="225">
        <f ca="1">VLOOKUP($B$48,Índices!$B$6:$F$500,VLOOKUP(N$54,$L$7:$M$9,2,FALSE)+1,FALSE)/VLOOKUP(DATE(YEAR($B79),MONTH($B79)-1,1),Índices!$B$6:$F$500,VLOOKUP(N$54,$L$7:$M$9,2,FALSE)+1,FALSE)*M79</f>
        <v>-1256.0954982724836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78">
        <f ca="1">SUM(C56:C79)</f>
        <v>0</v>
      </c>
      <c r="D80" s="1379">
        <f ca="1">SUM(D56:D79)</f>
        <v>0</v>
      </c>
      <c r="E80" s="1378">
        <f ca="1">SUM(E56:E79)</f>
        <v>-11967.860940591576</v>
      </c>
      <c r="F80" s="1379">
        <f ca="1">SUM(F56:F79)</f>
        <v>-11974.966841996687</v>
      </c>
      <c r="G80" s="1378">
        <f ca="1">SUM(G55:G79)</f>
        <v>-879.79822309444216</v>
      </c>
      <c r="H80" s="1378">
        <f t="shared" ref="H80:N80" ca="1" si="7">SUM(H55:H79)</f>
        <v>-853.90027895057767</v>
      </c>
      <c r="I80" s="1378">
        <f t="shared" ca="1" si="7"/>
        <v>-120661.4830910071</v>
      </c>
      <c r="J80" s="1378">
        <f t="shared" ca="1" si="7"/>
        <v>-120209.74283909067</v>
      </c>
      <c r="K80" s="1378">
        <f t="shared" ca="1" si="7"/>
        <v>0</v>
      </c>
      <c r="L80" s="1378">
        <f t="shared" ca="1" si="7"/>
        <v>0</v>
      </c>
      <c r="M80" s="1378">
        <f t="shared" ca="1" si="7"/>
        <v>-24478.870696752136</v>
      </c>
      <c r="N80" s="1378">
        <f t="shared" ca="1" si="7"/>
        <v>-24479.030390304055</v>
      </c>
      <c r="O80" s="1378">
        <f t="shared" ref="O80:R80" ca="1" si="8">SUM(O55:O79)</f>
        <v>0</v>
      </c>
      <c r="P80" s="1378">
        <f t="shared" ca="1" si="8"/>
        <v>0</v>
      </c>
      <c r="Q80" s="1378">
        <f t="shared" ca="1" si="8"/>
        <v>0</v>
      </c>
      <c r="R80" s="1378">
        <f t="shared" ca="1" si="8"/>
        <v>0</v>
      </c>
      <c r="S80" s="1378">
        <f t="shared" ref="S80:X80" si="9">SUM(S55:S79)</f>
        <v>0</v>
      </c>
      <c r="T80" s="1378">
        <f t="shared" si="9"/>
        <v>0</v>
      </c>
      <c r="U80" s="1378">
        <f t="shared" si="9"/>
        <v>0</v>
      </c>
      <c r="V80" s="1381">
        <f t="shared" si="9"/>
        <v>0</v>
      </c>
      <c r="W80" s="1378">
        <f t="shared" si="9"/>
        <v>0</v>
      </c>
      <c r="X80" s="1381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1374</v>
      </c>
      <c r="C1" s="9" t="s">
        <v>1375</v>
      </c>
      <c r="D1" s="9" t="s">
        <v>1376</v>
      </c>
      <c r="E1" s="233" t="s">
        <v>1377</v>
      </c>
      <c r="F1" s="233" t="s">
        <v>1378</v>
      </c>
      <c r="G1" s="233" t="s">
        <v>1379</v>
      </c>
      <c r="H1" s="233" t="s">
        <v>1380</v>
      </c>
      <c r="I1" s="9" t="s">
        <v>192</v>
      </c>
      <c r="J1" s="9" t="s">
        <v>1381</v>
      </c>
      <c r="K1" s="9" t="s">
        <v>1382</v>
      </c>
      <c r="L1" s="9" t="s">
        <v>1383</v>
      </c>
      <c r="M1" s="9" t="s">
        <v>1384</v>
      </c>
      <c r="N1" s="9" t="s">
        <v>959</v>
      </c>
      <c r="O1" s="9" t="s">
        <v>873</v>
      </c>
      <c r="P1" s="9" t="s">
        <v>1385</v>
      </c>
      <c r="Q1" s="8" t="s">
        <v>867</v>
      </c>
      <c r="R1" s="17" t="s">
        <v>1386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1375</v>
      </c>
      <c r="B1" t="s">
        <v>958</v>
      </c>
      <c r="C1" t="s">
        <v>1387</v>
      </c>
      <c r="D1" t="s">
        <v>877</v>
      </c>
      <c r="E1" t="s">
        <v>1388</v>
      </c>
      <c r="F1" t="s">
        <v>58</v>
      </c>
      <c r="G1" t="s">
        <v>524</v>
      </c>
      <c r="H1" t="s">
        <v>959</v>
      </c>
      <c r="I1" t="s">
        <v>108</v>
      </c>
      <c r="J1" t="s">
        <v>1379</v>
      </c>
      <c r="K1" t="s">
        <v>1389</v>
      </c>
      <c r="L1" t="s">
        <v>1390</v>
      </c>
      <c r="M1" t="s">
        <v>1391</v>
      </c>
      <c r="N1" t="s">
        <v>969</v>
      </c>
      <c r="O1" t="s">
        <v>1392</v>
      </c>
      <c r="P1" t="s">
        <v>1393</v>
      </c>
      <c r="Q1" t="s">
        <v>1394</v>
      </c>
      <c r="R1" t="s">
        <v>1395</v>
      </c>
      <c r="S1" t="s">
        <v>192</v>
      </c>
      <c r="T1" t="s">
        <v>1396</v>
      </c>
      <c r="U1" t="s">
        <v>1397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78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2" t="s">
        <v>1398</v>
      </c>
      <c r="D2" s="3" t="s">
        <v>1399</v>
      </c>
    </row>
    <row r="3" spans="2:15">
      <c r="B3" s="5"/>
    </row>
    <row r="6" spans="2:15">
      <c r="B6" s="1383" t="s">
        <v>1400</v>
      </c>
      <c r="C6" s="1383" t="s">
        <v>1401</v>
      </c>
      <c r="D6" s="1383" t="s">
        <v>770</v>
      </c>
      <c r="E6" s="6" t="s">
        <v>1402</v>
      </c>
      <c r="F6" s="6" t="s">
        <v>1403</v>
      </c>
      <c r="G6" s="1384" t="s">
        <v>1404</v>
      </c>
      <c r="K6" s="1462" t="s">
        <v>2124</v>
      </c>
      <c r="L6" s="1463" t="s">
        <v>37</v>
      </c>
      <c r="M6" s="1464" t="s">
        <v>2125</v>
      </c>
      <c r="N6" s="1463" t="s">
        <v>1320</v>
      </c>
      <c r="O6" s="1465" t="s">
        <v>2126</v>
      </c>
    </row>
    <row r="7" spans="2:15">
      <c r="B7" s="1385">
        <v>32629</v>
      </c>
      <c r="C7" s="1386">
        <v>2.5789999999999999E-5</v>
      </c>
      <c r="D7" s="1386">
        <v>3.4132578959999998E-4</v>
      </c>
      <c r="E7" s="1386">
        <v>0</v>
      </c>
      <c r="F7" s="1386">
        <v>1</v>
      </c>
      <c r="K7" s="1466">
        <v>42064</v>
      </c>
      <c r="L7" s="1467"/>
      <c r="M7" s="1468">
        <v>0</v>
      </c>
      <c r="N7" s="1469">
        <v>1</v>
      </c>
      <c r="O7" s="1469">
        <v>1</v>
      </c>
    </row>
    <row r="8" spans="2:15">
      <c r="B8" s="1385">
        <v>32660</v>
      </c>
      <c r="C8" s="1386">
        <v>3.0859999999999999E-5</v>
      </c>
      <c r="D8" s="1386">
        <v>4.3911559890000003E-4</v>
      </c>
      <c r="E8" s="1386">
        <v>0</v>
      </c>
      <c r="F8" s="1386">
        <v>1</v>
      </c>
      <c r="G8" s="10"/>
      <c r="K8" s="1466">
        <v>42065</v>
      </c>
      <c r="L8" s="1467" t="s">
        <v>2127</v>
      </c>
      <c r="M8" s="1468">
        <v>4.5512999999999998E-2</v>
      </c>
      <c r="N8" s="1469">
        <v>1.00045513</v>
      </c>
      <c r="O8" s="1469">
        <v>1.00045513</v>
      </c>
    </row>
    <row r="9" spans="2:15">
      <c r="B9" s="1385">
        <v>32690</v>
      </c>
      <c r="C9" s="1386">
        <v>4.1940000000000002E-5</v>
      </c>
      <c r="D9" s="1386">
        <v>5.6092617030000002E-4</v>
      </c>
      <c r="E9" s="1386">
        <v>0</v>
      </c>
      <c r="F9" s="1386">
        <v>1</v>
      </c>
      <c r="K9" s="1466">
        <v>42066</v>
      </c>
      <c r="L9" s="1467" t="s">
        <v>2127</v>
      </c>
      <c r="M9" s="1468">
        <v>4.5512999999999998E-2</v>
      </c>
      <c r="N9" s="1469">
        <v>1.0009104671433169</v>
      </c>
      <c r="O9" s="1469">
        <v>1.0009104671433169</v>
      </c>
    </row>
    <row r="10" spans="2:15">
      <c r="B10" s="1385">
        <v>32721</v>
      </c>
      <c r="C10" s="1386">
        <v>5.7429999999999997E-5</v>
      </c>
      <c r="D10" s="1386">
        <v>7.5001448160000002E-4</v>
      </c>
      <c r="E10" s="1386">
        <v>0</v>
      </c>
      <c r="F10" s="1386">
        <v>1</v>
      </c>
      <c r="K10" s="1466">
        <v>42067</v>
      </c>
      <c r="L10" s="1467" t="s">
        <v>2127</v>
      </c>
      <c r="M10" s="1468">
        <v>4.5512999999999998E-2</v>
      </c>
      <c r="N10" s="1469">
        <v>1.0013660115242278</v>
      </c>
      <c r="O10" s="1469">
        <v>1.0013660115242278</v>
      </c>
    </row>
    <row r="11" spans="2:15">
      <c r="B11" s="1385">
        <v>32752</v>
      </c>
      <c r="C11" s="1386">
        <v>8.0350000000000001E-5</v>
      </c>
      <c r="D11" s="1386">
        <v>1.031719911E-3</v>
      </c>
      <c r="E11" s="1386">
        <v>0</v>
      </c>
      <c r="F11" s="1386">
        <v>1</v>
      </c>
      <c r="K11" s="1466">
        <v>42068</v>
      </c>
      <c r="L11" s="1467" t="s">
        <v>2127</v>
      </c>
      <c r="M11" s="1468">
        <v>4.7279000000000002E-2</v>
      </c>
      <c r="N11" s="1469">
        <v>1.0018394473608161</v>
      </c>
      <c r="O11" s="1469">
        <v>1.0018394473608161</v>
      </c>
    </row>
    <row r="12" spans="2:15">
      <c r="B12" s="1385">
        <v>32782</v>
      </c>
      <c r="C12" s="1386">
        <v>1.13E-4</v>
      </c>
      <c r="D12" s="1386">
        <v>1.4420348808E-3</v>
      </c>
      <c r="E12" s="1386">
        <v>0</v>
      </c>
      <c r="F12" s="1386">
        <v>1</v>
      </c>
      <c r="K12" s="1466">
        <v>42069</v>
      </c>
      <c r="L12" s="1467" t="s">
        <v>2127</v>
      </c>
      <c r="M12" s="1468">
        <v>4.7279000000000002E-2</v>
      </c>
      <c r="N12" s="1469">
        <v>1.0023131070331337</v>
      </c>
      <c r="O12" s="1469">
        <v>1.0023131070331337</v>
      </c>
    </row>
    <row r="13" spans="2:15">
      <c r="B13" s="1385">
        <v>32813</v>
      </c>
      <c r="C13" s="1386">
        <v>1.5873999999999999E-4</v>
      </c>
      <c r="D13" s="1386">
        <v>2.1316159802999999E-3</v>
      </c>
      <c r="E13" s="1386">
        <v>0</v>
      </c>
      <c r="F13" s="1386">
        <v>1</v>
      </c>
      <c r="K13" s="1466">
        <v>42070</v>
      </c>
      <c r="L13" s="1467"/>
      <c r="M13" s="1468">
        <v>0</v>
      </c>
      <c r="N13" s="1469">
        <v>1.0023131070331337</v>
      </c>
      <c r="O13" s="1469">
        <v>1.0023131070331337</v>
      </c>
    </row>
    <row r="14" spans="2:15">
      <c r="B14" s="1385">
        <v>32843</v>
      </c>
      <c r="C14" s="1386">
        <v>2.3356000000000001E-4</v>
      </c>
      <c r="D14" s="1386">
        <v>3.2293981927000001E-3</v>
      </c>
      <c r="E14" s="1386">
        <v>0</v>
      </c>
      <c r="F14" s="1386">
        <v>1</v>
      </c>
      <c r="K14" s="1466">
        <v>42071</v>
      </c>
      <c r="L14" s="1467"/>
      <c r="M14" s="1468">
        <v>0</v>
      </c>
      <c r="N14" s="1469">
        <v>1.0023131070331337</v>
      </c>
      <c r="O14" s="1469">
        <v>1.0023131070331337</v>
      </c>
    </row>
    <row r="15" spans="2:15">
      <c r="B15" s="1385">
        <v>32874</v>
      </c>
      <c r="C15" s="1386">
        <v>3.7711E-4</v>
      </c>
      <c r="D15" s="1386">
        <v>5.4108567453999999E-3</v>
      </c>
      <c r="E15" s="1386">
        <v>0</v>
      </c>
      <c r="F15" s="1386">
        <v>1</v>
      </c>
      <c r="K15" s="1466">
        <v>42072</v>
      </c>
      <c r="L15" s="1467" t="s">
        <v>2127</v>
      </c>
      <c r="M15" s="1468">
        <v>4.7279000000000002E-2</v>
      </c>
      <c r="N15" s="1469">
        <v>1.0027869906470077</v>
      </c>
      <c r="O15" s="1469">
        <v>1.0027869906470077</v>
      </c>
    </row>
    <row r="16" spans="2:15">
      <c r="B16" s="1385">
        <v>32905</v>
      </c>
      <c r="C16" s="1386">
        <v>6.8364999999999995E-4</v>
      </c>
      <c r="D16" s="1386">
        <v>9.5084984832999996E-3</v>
      </c>
      <c r="E16" s="1386">
        <v>0</v>
      </c>
      <c r="F16" s="1386">
        <v>1</v>
      </c>
      <c r="K16" s="1466">
        <v>42073</v>
      </c>
      <c r="L16" s="1467" t="s">
        <v>2127</v>
      </c>
      <c r="M16" s="1468">
        <v>4.7279000000000002E-2</v>
      </c>
      <c r="N16" s="1469">
        <v>1.0032610983083157</v>
      </c>
      <c r="O16" s="1469">
        <v>1.0032610983083157</v>
      </c>
    </row>
    <row r="17" spans="2:15">
      <c r="B17" s="1385">
        <v>32933</v>
      </c>
      <c r="C17" s="1386">
        <v>1.2575500000000001E-3</v>
      </c>
      <c r="D17" s="1386">
        <v>1.7342550351000002E-2</v>
      </c>
      <c r="E17" s="1386">
        <v>0</v>
      </c>
      <c r="F17" s="1386">
        <v>1</v>
      </c>
      <c r="K17" s="1466">
        <v>42074</v>
      </c>
      <c r="L17" s="1467" t="s">
        <v>2127</v>
      </c>
      <c r="M17" s="1468">
        <v>4.7279000000000002E-2</v>
      </c>
      <c r="N17" s="1469">
        <v>1.0037354301229848</v>
      </c>
      <c r="O17" s="1469">
        <v>1.0037354301229848</v>
      </c>
    </row>
    <row r="18" spans="2:15">
      <c r="B18" s="1385">
        <v>32964</v>
      </c>
      <c r="C18" s="1386">
        <v>1.61407E-3</v>
      </c>
      <c r="D18" s="1386">
        <v>2.00341140678E-2</v>
      </c>
      <c r="E18" s="1386">
        <v>0</v>
      </c>
      <c r="F18" s="1386">
        <v>1</v>
      </c>
      <c r="K18" s="1466">
        <v>42075</v>
      </c>
      <c r="L18" s="1467" t="s">
        <v>2127</v>
      </c>
      <c r="M18" s="1468">
        <v>4.7279000000000002E-2</v>
      </c>
      <c r="N18" s="1469">
        <v>1.0042099861969926</v>
      </c>
      <c r="O18" s="1469">
        <v>1.0042099861969926</v>
      </c>
    </row>
    <row r="19" spans="2:15">
      <c r="B19" s="1385">
        <v>32994</v>
      </c>
      <c r="C19" s="1386">
        <v>1.70973E-3</v>
      </c>
      <c r="D19" s="1386">
        <v>2.1554703244099999E-2</v>
      </c>
      <c r="E19" s="1386">
        <v>0</v>
      </c>
      <c r="F19" s="1386">
        <v>1</v>
      </c>
      <c r="K19" s="1466">
        <v>42076</v>
      </c>
      <c r="L19" s="1467" t="s">
        <v>2127</v>
      </c>
      <c r="M19" s="1468">
        <v>4.7279000000000002E-2</v>
      </c>
      <c r="N19" s="1469">
        <v>1.0046847666363665</v>
      </c>
      <c r="O19" s="1469">
        <v>1.0046847666363665</v>
      </c>
    </row>
    <row r="20" spans="2:15">
      <c r="B20" s="1385">
        <v>33025</v>
      </c>
      <c r="C20" s="1386">
        <v>1.87962E-3</v>
      </c>
      <c r="D20" s="1386">
        <v>2.4087380951899998E-2</v>
      </c>
      <c r="E20" s="1386">
        <v>0</v>
      </c>
      <c r="F20" s="1386">
        <v>1</v>
      </c>
      <c r="K20" s="1466">
        <v>42077</v>
      </c>
      <c r="L20" s="1467"/>
      <c r="M20" s="1468">
        <v>0</v>
      </c>
      <c r="N20" s="1469">
        <v>1.0046847666363665</v>
      </c>
      <c r="O20" s="1469">
        <v>1.0046847666363665</v>
      </c>
    </row>
    <row r="21" spans="2:15">
      <c r="B21" s="1385">
        <v>33055</v>
      </c>
      <c r="C21" s="1386">
        <v>2.10539E-3</v>
      </c>
      <c r="D21" s="1386">
        <v>2.7199470492E-2</v>
      </c>
      <c r="E21" s="1386">
        <v>0</v>
      </c>
      <c r="F21" s="1386">
        <v>1</v>
      </c>
      <c r="K21" s="1466">
        <v>42078</v>
      </c>
      <c r="L21" s="1467"/>
      <c r="M21" s="1468">
        <v>0</v>
      </c>
      <c r="N21" s="1469">
        <v>1.0046847666363665</v>
      </c>
      <c r="O21" s="1469">
        <v>1.0046847666363665</v>
      </c>
    </row>
    <row r="22" spans="2:15">
      <c r="B22" s="1385">
        <v>33086</v>
      </c>
      <c r="C22" s="1386">
        <v>2.39215E-3</v>
      </c>
      <c r="D22" s="1386">
        <v>3.0702762318699998E-2</v>
      </c>
      <c r="E22" s="1386">
        <v>0</v>
      </c>
      <c r="F22" s="1386">
        <v>1</v>
      </c>
      <c r="K22" s="1466">
        <v>42079</v>
      </c>
      <c r="L22" s="1467" t="s">
        <v>2127</v>
      </c>
      <c r="M22" s="1468">
        <v>4.7279000000000002E-2</v>
      </c>
      <c r="N22" s="1469">
        <v>1.0051597715471845</v>
      </c>
      <c r="O22" s="1469">
        <v>1.0051597715471845</v>
      </c>
    </row>
    <row r="23" spans="2:15">
      <c r="B23" s="1385">
        <v>33117</v>
      </c>
      <c r="C23" s="1386">
        <v>2.6984000000000001E-3</v>
      </c>
      <c r="D23" s="1386">
        <v>3.51270304097E-2</v>
      </c>
      <c r="E23" s="1386">
        <v>0</v>
      </c>
      <c r="F23" s="1386">
        <v>1</v>
      </c>
      <c r="K23" s="1466">
        <v>42080</v>
      </c>
      <c r="L23" s="1467" t="s">
        <v>2127</v>
      </c>
      <c r="M23" s="1468">
        <v>4.7279000000000002E-2</v>
      </c>
      <c r="N23" s="1469">
        <v>1.0056350010355741</v>
      </c>
      <c r="O23" s="1469">
        <v>1.0056350010355741</v>
      </c>
    </row>
    <row r="24" spans="2:15">
      <c r="B24" s="1385">
        <v>33147</v>
      </c>
      <c r="C24" s="1386">
        <v>3.0483699999999999E-3</v>
      </c>
      <c r="D24" s="1386">
        <v>4.0171272055300002E-2</v>
      </c>
      <c r="E24" s="1386">
        <v>0</v>
      </c>
      <c r="F24" s="1386">
        <v>1</v>
      </c>
      <c r="K24" s="1466">
        <v>42081</v>
      </c>
      <c r="L24" s="1467" t="s">
        <v>2127</v>
      </c>
      <c r="M24" s="1468">
        <v>4.7279000000000002E-2</v>
      </c>
      <c r="N24" s="1469">
        <v>1.0061104552077136</v>
      </c>
      <c r="O24" s="1469">
        <v>1.0061104552077136</v>
      </c>
    </row>
    <row r="25" spans="2:15">
      <c r="B25" s="1385">
        <v>33178</v>
      </c>
      <c r="C25" s="1386">
        <v>3.5622900000000001E-3</v>
      </c>
      <c r="D25" s="1386">
        <v>4.6924062784199999E-2</v>
      </c>
      <c r="E25" s="1386">
        <v>0</v>
      </c>
      <c r="F25" s="1386">
        <v>1</v>
      </c>
      <c r="K25" s="1466">
        <v>42082</v>
      </c>
      <c r="L25" s="1467" t="s">
        <v>2127</v>
      </c>
      <c r="M25" s="1468">
        <v>4.7279000000000002E-2</v>
      </c>
      <c r="N25" s="1469">
        <v>1.0065861341698312</v>
      </c>
      <c r="O25" s="1469">
        <v>1.0065861341698312</v>
      </c>
    </row>
    <row r="26" spans="2:15">
      <c r="B26" s="1385">
        <v>33208</v>
      </c>
      <c r="C26" s="1386">
        <v>4.2034799999999999E-3</v>
      </c>
      <c r="D26" s="1386">
        <v>5.5576860018600002E-2</v>
      </c>
      <c r="E26" s="1386">
        <v>0</v>
      </c>
      <c r="F26" s="1386">
        <v>1</v>
      </c>
      <c r="K26" s="1466">
        <v>42083</v>
      </c>
      <c r="L26" s="1467" t="s">
        <v>2127</v>
      </c>
      <c r="M26" s="1468">
        <v>4.7279000000000002E-2</v>
      </c>
      <c r="N26" s="1469">
        <v>1.0070620380282054</v>
      </c>
      <c r="O26" s="1469">
        <v>1.0070620380282054</v>
      </c>
    </row>
    <row r="27" spans="2:15">
      <c r="B27" s="1385">
        <v>33239</v>
      </c>
      <c r="C27" s="1386">
        <v>4.9475200000000004E-3</v>
      </c>
      <c r="D27" s="1386">
        <v>6.7109058472399993E-2</v>
      </c>
      <c r="E27" s="1386">
        <v>0</v>
      </c>
      <c r="F27" s="1386">
        <v>1</v>
      </c>
      <c r="K27" s="1466">
        <v>42084</v>
      </c>
      <c r="L27" s="1467"/>
      <c r="M27" s="1468">
        <v>0</v>
      </c>
      <c r="N27" s="1469">
        <v>1.0070620380282054</v>
      </c>
      <c r="O27" s="1469">
        <v>1.0070620380282054</v>
      </c>
    </row>
    <row r="28" spans="2:15">
      <c r="B28" s="1385">
        <v>33270</v>
      </c>
      <c r="C28" s="1386">
        <v>5.9873900000000004E-3</v>
      </c>
      <c r="D28" s="1386">
        <v>8.1014388849100005E-2</v>
      </c>
      <c r="E28" s="1386">
        <v>0</v>
      </c>
      <c r="F28" s="1386">
        <v>1</v>
      </c>
      <c r="K28" s="1466">
        <v>42085</v>
      </c>
      <c r="L28" s="1467"/>
      <c r="M28" s="1468">
        <v>0</v>
      </c>
      <c r="N28" s="1469">
        <v>1.0070620380282054</v>
      </c>
      <c r="O28" s="1469">
        <v>1.0070620380282054</v>
      </c>
    </row>
    <row r="29" spans="2:15">
      <c r="B29" s="1385">
        <v>33298</v>
      </c>
      <c r="C29" s="1386">
        <v>6.5374099999999996E-3</v>
      </c>
      <c r="D29" s="1386">
        <v>9.0673647120300002E-2</v>
      </c>
      <c r="E29" s="1386">
        <v>0</v>
      </c>
      <c r="F29" s="1386">
        <v>1</v>
      </c>
      <c r="K29" s="1466">
        <v>42086</v>
      </c>
      <c r="L29" s="1467" t="s">
        <v>2127</v>
      </c>
      <c r="M29" s="1468">
        <v>4.7279000000000002E-2</v>
      </c>
      <c r="N29" s="1469">
        <v>1.0075381668891645</v>
      </c>
      <c r="O29" s="1469">
        <v>1.0075381668891645</v>
      </c>
    </row>
    <row r="30" spans="2:15">
      <c r="B30" s="1385">
        <v>33329</v>
      </c>
      <c r="C30" s="1386">
        <v>7.0477600000000001E-3</v>
      </c>
      <c r="D30" s="1386">
        <v>9.5197603525800006E-2</v>
      </c>
      <c r="E30" s="1386">
        <v>0</v>
      </c>
      <c r="F30" s="1386">
        <v>1</v>
      </c>
      <c r="K30" s="1466">
        <v>42087</v>
      </c>
      <c r="L30" s="1467" t="s">
        <v>2127</v>
      </c>
      <c r="M30" s="1468">
        <v>4.7279000000000002E-2</v>
      </c>
      <c r="N30" s="1469">
        <v>1.008014520859088</v>
      </c>
      <c r="O30" s="1469">
        <v>1.008014520859088</v>
      </c>
    </row>
    <row r="31" spans="2:15">
      <c r="B31" s="1385">
        <v>33359</v>
      </c>
      <c r="C31" s="1386">
        <v>7.57502E-3</v>
      </c>
      <c r="D31" s="1386">
        <v>0.10227253780620001</v>
      </c>
      <c r="E31" s="1386">
        <v>0</v>
      </c>
      <c r="F31" s="1386">
        <v>1</v>
      </c>
      <c r="K31" s="1466">
        <v>42088</v>
      </c>
      <c r="L31" s="1467" t="s">
        <v>2127</v>
      </c>
      <c r="M31" s="1468">
        <v>4.7279000000000002E-2</v>
      </c>
      <c r="N31" s="1469">
        <v>1.008491100044405</v>
      </c>
      <c r="O31" s="1469">
        <v>1.008491100044405</v>
      </c>
    </row>
    <row r="32" spans="2:15">
      <c r="B32" s="1385">
        <v>33390</v>
      </c>
      <c r="C32" s="1386">
        <v>8.2174099999999996E-3</v>
      </c>
      <c r="D32" s="1386">
        <v>0.113715813284</v>
      </c>
      <c r="E32" s="1386">
        <v>0</v>
      </c>
      <c r="F32" s="1386">
        <v>1</v>
      </c>
      <c r="K32" s="1466">
        <v>42089</v>
      </c>
      <c r="L32" s="1467" t="s">
        <v>2127</v>
      </c>
      <c r="M32" s="1468">
        <v>4.7279000000000002E-2</v>
      </c>
      <c r="N32" s="1469">
        <v>1.0089679045515949</v>
      </c>
      <c r="O32" s="1469">
        <v>1.0089679045515949</v>
      </c>
    </row>
    <row r="33" spans="2:15">
      <c r="B33" s="1385">
        <v>33420</v>
      </c>
      <c r="C33" s="1386">
        <v>9.3037399999999996E-3</v>
      </c>
      <c r="D33" s="1386">
        <v>0.12782677804270001</v>
      </c>
      <c r="E33" s="1386">
        <v>0</v>
      </c>
      <c r="F33" s="1386">
        <v>1</v>
      </c>
      <c r="K33" s="1466">
        <v>42090</v>
      </c>
      <c r="L33" s="1467" t="s">
        <v>2127</v>
      </c>
      <c r="M33" s="1468">
        <v>4.7279000000000002E-2</v>
      </c>
      <c r="N33" s="1469">
        <v>1.0094449344871876</v>
      </c>
      <c r="O33" s="1469">
        <v>1.0094449344871876</v>
      </c>
    </row>
    <row r="34" spans="2:15">
      <c r="B34" s="1385">
        <v>33451</v>
      </c>
      <c r="C34" s="1386">
        <v>1.072268E-2</v>
      </c>
      <c r="D34" s="1386">
        <v>0.14780665921940001</v>
      </c>
      <c r="E34" s="1387">
        <v>0</v>
      </c>
      <c r="F34" s="1387">
        <v>1</v>
      </c>
      <c r="K34" s="1466">
        <v>42091</v>
      </c>
      <c r="L34" s="1467"/>
      <c r="M34" s="1468">
        <v>0</v>
      </c>
      <c r="N34" s="1469">
        <v>1.0094449344871876</v>
      </c>
      <c r="O34" s="1469">
        <v>1.0094449344871876</v>
      </c>
    </row>
    <row r="35" spans="2:15">
      <c r="B35" s="1385">
        <v>33482</v>
      </c>
      <c r="C35" s="1386">
        <v>1.232337E-2</v>
      </c>
      <c r="D35" s="1386">
        <v>0.17090995992909999</v>
      </c>
      <c r="E35" s="1387">
        <v>0</v>
      </c>
      <c r="F35" s="1387">
        <v>1</v>
      </c>
      <c r="K35" s="1466">
        <v>42092</v>
      </c>
      <c r="L35" s="1467"/>
      <c r="M35" s="1468">
        <v>0</v>
      </c>
      <c r="N35" s="1469">
        <v>1.0094449344871876</v>
      </c>
      <c r="O35" s="1469">
        <v>1.0094449344871876</v>
      </c>
    </row>
    <row r="36" spans="2:15">
      <c r="B36" s="1385">
        <v>33512</v>
      </c>
      <c r="C36" s="1386">
        <v>1.5112230000000001E-2</v>
      </c>
      <c r="D36" s="1386">
        <v>0.20548432454660001</v>
      </c>
      <c r="E36" s="1387">
        <v>0</v>
      </c>
      <c r="F36" s="1387">
        <v>1</v>
      </c>
      <c r="K36" s="1466">
        <v>42093</v>
      </c>
      <c r="L36" s="1467" t="s">
        <v>2127</v>
      </c>
      <c r="M36" s="1468">
        <v>4.7279000000000002E-2</v>
      </c>
      <c r="N36" s="1469">
        <v>1.0099221899577637</v>
      </c>
      <c r="O36" s="1469">
        <v>1.0099221899577637</v>
      </c>
    </row>
    <row r="37" spans="2:15">
      <c r="B37" s="1385">
        <v>33543</v>
      </c>
      <c r="C37" s="1386">
        <v>1.8984250000000001E-2</v>
      </c>
      <c r="D37" s="1386">
        <v>0.2572875157699</v>
      </c>
      <c r="E37" s="1387">
        <v>0</v>
      </c>
      <c r="F37" s="1387">
        <v>1</v>
      </c>
      <c r="K37" s="1466">
        <v>42094</v>
      </c>
      <c r="L37" s="1467" t="s">
        <v>2127</v>
      </c>
      <c r="M37" s="1468">
        <v>4.7279000000000002E-2</v>
      </c>
      <c r="N37" s="1469">
        <v>1.0103996710699537</v>
      </c>
      <c r="O37" s="1469">
        <v>1.0103996710699537</v>
      </c>
    </row>
    <row r="38" spans="2:15">
      <c r="B38" s="1385">
        <v>33573</v>
      </c>
      <c r="C38" s="1386">
        <v>2.347107E-2</v>
      </c>
      <c r="D38" s="1386">
        <v>0.31828867732630001</v>
      </c>
      <c r="E38" s="1387">
        <v>0</v>
      </c>
      <c r="F38" s="1387">
        <v>1</v>
      </c>
      <c r="K38" s="1466">
        <v>42095</v>
      </c>
      <c r="L38" s="1467" t="s">
        <v>2127</v>
      </c>
      <c r="M38" s="1468">
        <v>4.7279000000000002E-2</v>
      </c>
      <c r="N38" s="1469">
        <v>1.0108773779304387</v>
      </c>
      <c r="O38" s="1469">
        <v>1.0108773779304387</v>
      </c>
    </row>
    <row r="39" spans="2:15">
      <c r="B39" s="1385">
        <v>33604</v>
      </c>
      <c r="C39" s="1386">
        <v>2.9000140000000001E-2</v>
      </c>
      <c r="D39" s="1386">
        <v>0.40085366056990002</v>
      </c>
      <c r="E39" s="1387">
        <v>0</v>
      </c>
      <c r="F39" s="1387">
        <v>1</v>
      </c>
      <c r="K39" s="1466">
        <v>42096</v>
      </c>
      <c r="L39" s="1467" t="s">
        <v>2127</v>
      </c>
      <c r="M39" s="1468">
        <v>4.7279000000000002E-2</v>
      </c>
      <c r="N39" s="1469">
        <v>1.0113553106459503</v>
      </c>
      <c r="O39" s="1469">
        <v>1.0113553106459503</v>
      </c>
    </row>
    <row r="40" spans="2:15">
      <c r="B40" s="1385">
        <v>33635</v>
      </c>
      <c r="C40" s="1386">
        <v>3.7078809999999997E-2</v>
      </c>
      <c r="D40" s="1386">
        <v>0.49834103072840003</v>
      </c>
      <c r="E40" s="1387">
        <v>0</v>
      </c>
      <c r="F40" s="1387">
        <v>1</v>
      </c>
      <c r="K40" s="1466">
        <v>42097</v>
      </c>
      <c r="L40" s="1467"/>
      <c r="M40" s="1468">
        <v>0</v>
      </c>
      <c r="N40" s="1469">
        <v>1.0113553106459503</v>
      </c>
      <c r="O40" s="1469">
        <v>1.0113553106459503</v>
      </c>
    </row>
    <row r="41" spans="2:15">
      <c r="B41" s="1385">
        <v>33664</v>
      </c>
      <c r="C41" s="1386">
        <v>4.501144E-2</v>
      </c>
      <c r="D41" s="1386">
        <v>0.60498746741809994</v>
      </c>
      <c r="E41" s="1387">
        <v>0</v>
      </c>
      <c r="F41" s="1387">
        <v>1</v>
      </c>
      <c r="K41" s="1466">
        <v>42098</v>
      </c>
      <c r="L41" s="1467"/>
      <c r="M41" s="1468">
        <v>0</v>
      </c>
      <c r="N41" s="1469">
        <v>1.0113553106459503</v>
      </c>
      <c r="O41" s="1469">
        <v>1.0113553106459503</v>
      </c>
    </row>
    <row r="42" spans="2:15">
      <c r="B42" s="1385">
        <v>33695</v>
      </c>
      <c r="C42" s="1386">
        <v>5.3986060000000002E-2</v>
      </c>
      <c r="D42" s="1386">
        <v>0.72556146522830001</v>
      </c>
      <c r="E42" s="1387">
        <v>0</v>
      </c>
      <c r="F42" s="1387">
        <v>1</v>
      </c>
      <c r="K42" s="1466">
        <v>42099</v>
      </c>
      <c r="L42" s="1467"/>
      <c r="M42" s="1468">
        <v>0</v>
      </c>
      <c r="N42" s="1469">
        <v>1.0113553106459503</v>
      </c>
      <c r="O42" s="1469">
        <v>1.0113553106459503</v>
      </c>
    </row>
    <row r="43" spans="2:15">
      <c r="B43" s="1385">
        <v>33725</v>
      </c>
      <c r="C43" s="1386">
        <v>6.5012799999999996E-2</v>
      </c>
      <c r="D43" s="1386">
        <v>0.90593616441860003</v>
      </c>
      <c r="E43" s="1387">
        <v>0</v>
      </c>
      <c r="F43" s="1387">
        <v>1</v>
      </c>
      <c r="K43" s="1466">
        <v>42100</v>
      </c>
      <c r="L43" s="1467" t="s">
        <v>2127</v>
      </c>
      <c r="M43" s="1468">
        <v>4.7279000000000002E-2</v>
      </c>
      <c r="N43" s="1469">
        <v>1.0118334693232705</v>
      </c>
      <c r="O43" s="1469">
        <v>1.0118334693232705</v>
      </c>
    </row>
    <row r="44" spans="2:15">
      <c r="B44" s="1385">
        <v>33756</v>
      </c>
      <c r="C44" s="1386">
        <v>8.0361459999999996E-2</v>
      </c>
      <c r="D44" s="1386">
        <v>1.0890285720637001</v>
      </c>
      <c r="E44" s="1387">
        <v>0</v>
      </c>
      <c r="F44" s="1387">
        <v>1</v>
      </c>
      <c r="K44" s="1466">
        <v>42101</v>
      </c>
      <c r="L44" s="1467" t="s">
        <v>2127</v>
      </c>
      <c r="M44" s="1468">
        <v>4.7279000000000002E-2</v>
      </c>
      <c r="N44" s="1469">
        <v>1.0123118540692317</v>
      </c>
      <c r="O44" s="1469">
        <v>1.0123118540692317</v>
      </c>
    </row>
    <row r="45" spans="2:15">
      <c r="B45" s="1385">
        <v>33786</v>
      </c>
      <c r="C45" s="1386">
        <v>9.7908469999999997E-2</v>
      </c>
      <c r="D45" s="1386">
        <v>1.3267641484791</v>
      </c>
      <c r="E45" s="1387">
        <v>0</v>
      </c>
      <c r="F45" s="1387">
        <v>1</v>
      </c>
      <c r="K45" s="1466">
        <v>42102</v>
      </c>
      <c r="L45" s="1467" t="s">
        <v>2127</v>
      </c>
      <c r="M45" s="1468">
        <v>4.7279000000000002E-2</v>
      </c>
      <c r="N45" s="1469">
        <v>1.0127904649907171</v>
      </c>
      <c r="O45" s="1469">
        <v>1.0127904649907171</v>
      </c>
    </row>
    <row r="46" spans="2:15">
      <c r="B46" s="1385">
        <v>33817</v>
      </c>
      <c r="C46" s="1386">
        <v>0.12202180999999999</v>
      </c>
      <c r="D46" s="1386">
        <v>1.6205100844213001</v>
      </c>
      <c r="E46" s="1387">
        <v>0</v>
      </c>
      <c r="F46" s="1387">
        <v>1</v>
      </c>
      <c r="K46" s="1466">
        <v>42103</v>
      </c>
      <c r="L46" s="1467" t="s">
        <v>2127</v>
      </c>
      <c r="M46" s="1468">
        <v>4.7279000000000002E-2</v>
      </c>
      <c r="N46" s="1469">
        <v>1.0132693021946599</v>
      </c>
      <c r="O46" s="1469">
        <v>1.0132693021946599</v>
      </c>
    </row>
    <row r="47" spans="2:15">
      <c r="B47" s="1385">
        <v>33848</v>
      </c>
      <c r="C47" s="1386">
        <v>0.15285811999999999</v>
      </c>
      <c r="D47" s="1386">
        <v>2.0196408623306001</v>
      </c>
      <c r="E47" s="1387">
        <v>0</v>
      </c>
      <c r="F47" s="1387">
        <v>1</v>
      </c>
      <c r="K47" s="1466">
        <v>42104</v>
      </c>
      <c r="L47" s="1467" t="s">
        <v>2127</v>
      </c>
      <c r="M47" s="1468">
        <v>4.7279000000000002E-2</v>
      </c>
      <c r="N47" s="1469">
        <v>1.0137483657880444</v>
      </c>
      <c r="O47" s="1469">
        <v>1.0137483657880444</v>
      </c>
    </row>
    <row r="48" spans="2:15">
      <c r="B48" s="1385">
        <v>33878</v>
      </c>
      <c r="C48" s="1386">
        <v>0.19376498</v>
      </c>
      <c r="D48" s="1386">
        <v>2.5293973801068002</v>
      </c>
      <c r="E48" s="1387">
        <v>0</v>
      </c>
      <c r="F48" s="1387">
        <v>1</v>
      </c>
      <c r="K48" s="1466">
        <v>42105</v>
      </c>
      <c r="L48" s="1467"/>
      <c r="M48" s="1468">
        <v>0</v>
      </c>
      <c r="N48" s="1469">
        <v>1.0137483657880444</v>
      </c>
      <c r="O48" s="1469">
        <v>1.0137483657880444</v>
      </c>
    </row>
    <row r="49" spans="2:15">
      <c r="B49" s="1385">
        <v>33909</v>
      </c>
      <c r="C49" s="1386">
        <v>0.23916162999999999</v>
      </c>
      <c r="D49" s="1386">
        <v>3.0982598885127999</v>
      </c>
      <c r="E49" s="1387">
        <v>0</v>
      </c>
      <c r="F49" s="1387">
        <v>1</v>
      </c>
      <c r="K49" s="1466">
        <v>42106</v>
      </c>
      <c r="L49" s="1467"/>
      <c r="M49" s="1468">
        <v>0</v>
      </c>
      <c r="N49" s="1469">
        <v>1.0137483657880444</v>
      </c>
      <c r="O49" s="1469">
        <v>1.0137483657880444</v>
      </c>
    </row>
    <row r="50" spans="2:15">
      <c r="B50" s="1385">
        <v>33939</v>
      </c>
      <c r="C50" s="1386">
        <v>0.29913278999999998</v>
      </c>
      <c r="D50" s="1386">
        <v>3.8802596550900001</v>
      </c>
      <c r="E50" s="1387">
        <v>0</v>
      </c>
      <c r="F50" s="1387">
        <v>1</v>
      </c>
      <c r="K50" s="1466">
        <v>42107</v>
      </c>
      <c r="L50" s="1467" t="s">
        <v>2127</v>
      </c>
      <c r="M50" s="1468">
        <v>4.7279000000000002E-2</v>
      </c>
      <c r="N50" s="1469">
        <v>1.0142276558779053</v>
      </c>
      <c r="O50" s="1469">
        <v>1.0142276558779053</v>
      </c>
    </row>
    <row r="51" spans="2:15">
      <c r="B51" s="1385">
        <v>33970</v>
      </c>
      <c r="C51" s="1386">
        <v>0.37638683000000001</v>
      </c>
      <c r="D51" s="1386">
        <v>5.0579166458253004</v>
      </c>
      <c r="E51" s="1387">
        <v>0</v>
      </c>
      <c r="F51" s="1387">
        <v>1</v>
      </c>
      <c r="K51" s="1466">
        <v>42108</v>
      </c>
      <c r="L51" s="1467" t="s">
        <v>2127</v>
      </c>
      <c r="M51" s="1468">
        <v>4.7279000000000002E-2</v>
      </c>
      <c r="N51" s="1469">
        <v>1.0147071725713277</v>
      </c>
      <c r="O51" s="1469">
        <v>1.0147071725713277</v>
      </c>
    </row>
    <row r="52" spans="2:15">
      <c r="B52" s="1385">
        <v>34001</v>
      </c>
      <c r="C52" s="1386">
        <v>0.48335073000000001</v>
      </c>
      <c r="D52" s="1386">
        <v>6.3213843084293</v>
      </c>
      <c r="E52" s="1387">
        <v>0</v>
      </c>
      <c r="F52" s="1387">
        <v>1</v>
      </c>
      <c r="K52" s="1466">
        <v>42109</v>
      </c>
      <c r="L52" s="1467" t="s">
        <v>2127</v>
      </c>
      <c r="M52" s="1468">
        <v>4.7279000000000002E-2</v>
      </c>
      <c r="N52" s="1469">
        <v>1.0151869159754476</v>
      </c>
      <c r="O52" s="1469">
        <v>1.0151869159754476</v>
      </c>
    </row>
    <row r="53" spans="2:15">
      <c r="B53" s="1385">
        <v>34029</v>
      </c>
      <c r="C53" s="1386">
        <v>0.61023090000000002</v>
      </c>
      <c r="D53" s="1386">
        <v>8.0445948724788998</v>
      </c>
      <c r="E53" s="1387">
        <v>0</v>
      </c>
      <c r="F53" s="1387">
        <v>1</v>
      </c>
      <c r="K53" s="1466">
        <v>42110</v>
      </c>
      <c r="L53" s="1467" t="s">
        <v>2127</v>
      </c>
      <c r="M53" s="1468">
        <v>4.7279000000000002E-2</v>
      </c>
      <c r="N53" s="1469">
        <v>1.0156668861974516</v>
      </c>
      <c r="O53" s="1469">
        <v>1.0156668861974516</v>
      </c>
    </row>
    <row r="54" spans="2:15">
      <c r="B54" s="1385">
        <v>34060</v>
      </c>
      <c r="C54" s="1386">
        <v>0.78617482000000005</v>
      </c>
      <c r="D54" s="1386">
        <v>10.2769672819025</v>
      </c>
      <c r="E54" s="1387">
        <v>0</v>
      </c>
      <c r="F54" s="1387">
        <v>1</v>
      </c>
      <c r="K54" s="1466">
        <v>42111</v>
      </c>
      <c r="L54" s="1467" t="s">
        <v>2127</v>
      </c>
      <c r="M54" s="1468">
        <v>4.7279000000000002E-2</v>
      </c>
      <c r="N54" s="1469">
        <v>1.0161470833445767</v>
      </c>
      <c r="O54" s="1469">
        <v>1.0161470833445767</v>
      </c>
    </row>
    <row r="55" spans="2:15">
      <c r="B55" s="1385">
        <v>34090</v>
      </c>
      <c r="C55" s="1386">
        <v>1.01968087</v>
      </c>
      <c r="D55" s="1386">
        <v>13.1226581300609</v>
      </c>
      <c r="E55" s="1387">
        <v>0</v>
      </c>
      <c r="F55" s="1387">
        <v>1</v>
      </c>
      <c r="K55" s="1466">
        <v>42112</v>
      </c>
      <c r="L55" s="1467"/>
      <c r="M55" s="1468">
        <v>0</v>
      </c>
      <c r="N55" s="1469">
        <v>1.0161470833445767</v>
      </c>
      <c r="O55" s="1469">
        <v>1.0161470833445767</v>
      </c>
    </row>
    <row r="56" spans="2:15">
      <c r="B56" s="1385">
        <v>34121</v>
      </c>
      <c r="C56" s="1386">
        <v>1.3408208699999999</v>
      </c>
      <c r="D56" s="1386">
        <v>17.068642979808899</v>
      </c>
      <c r="E56" s="1387">
        <v>0</v>
      </c>
      <c r="F56" s="1387">
        <v>1</v>
      </c>
      <c r="K56" s="1466">
        <v>42113</v>
      </c>
      <c r="L56" s="1467"/>
      <c r="M56" s="1468">
        <v>0</v>
      </c>
      <c r="N56" s="1469">
        <v>1.0161470833445767</v>
      </c>
      <c r="O56" s="1469">
        <v>1.0161470833445767</v>
      </c>
    </row>
    <row r="57" spans="2:15">
      <c r="B57" s="1385">
        <v>34151</v>
      </c>
      <c r="C57" s="1386">
        <v>1.75984608</v>
      </c>
      <c r="D57" s="1386">
        <v>22.312130761236201</v>
      </c>
      <c r="E57" s="1387">
        <v>0</v>
      </c>
      <c r="F57" s="1387">
        <v>1</v>
      </c>
      <c r="K57" s="1466">
        <v>42114</v>
      </c>
      <c r="L57" s="1467" t="s">
        <v>2127</v>
      </c>
      <c r="M57" s="1468">
        <v>4.7279000000000002E-2</v>
      </c>
      <c r="N57" s="1469">
        <v>1.0166275075241111</v>
      </c>
      <c r="O57" s="1469">
        <v>1.0166275075241111</v>
      </c>
    </row>
    <row r="58" spans="2:15">
      <c r="B58" s="1385">
        <v>34182</v>
      </c>
      <c r="C58" s="1386">
        <v>2.31923637</v>
      </c>
      <c r="D58" s="1386">
        <v>29.666210936414501</v>
      </c>
      <c r="E58" s="1387">
        <v>0</v>
      </c>
      <c r="F58" s="1387">
        <v>1</v>
      </c>
      <c r="K58" s="1466">
        <v>42115</v>
      </c>
      <c r="L58" s="1467"/>
      <c r="M58" s="1468">
        <v>0</v>
      </c>
      <c r="N58" s="1469">
        <v>1.0166275075241111</v>
      </c>
      <c r="O58" s="1469">
        <v>1.0166275075241111</v>
      </c>
    </row>
    <row r="59" spans="2:15">
      <c r="B59" s="1385">
        <v>34213</v>
      </c>
      <c r="C59" s="1386">
        <v>3.1375231000000001</v>
      </c>
      <c r="D59" s="1386">
        <v>40.254080730946797</v>
      </c>
      <c r="E59" s="1387">
        <v>0</v>
      </c>
      <c r="F59" s="1387">
        <v>1</v>
      </c>
      <c r="K59" s="1466">
        <v>42116</v>
      </c>
      <c r="L59" s="1467" t="s">
        <v>2127</v>
      </c>
      <c r="M59" s="1468">
        <v>4.7279000000000002E-2</v>
      </c>
      <c r="N59" s="1469">
        <v>1.0171081588433935</v>
      </c>
      <c r="O59" s="1469">
        <v>1.0171081588433935</v>
      </c>
    </row>
    <row r="60" spans="2:15">
      <c r="B60" s="1385">
        <v>34243</v>
      </c>
      <c r="C60" s="1386">
        <v>4.2367972299999996</v>
      </c>
      <c r="D60" s="1386">
        <v>53.908264834853298</v>
      </c>
      <c r="E60" s="1387">
        <v>0</v>
      </c>
      <c r="F60" s="1387">
        <v>1</v>
      </c>
      <c r="K60" s="1466">
        <v>42117</v>
      </c>
      <c r="L60" s="1467" t="s">
        <v>2127</v>
      </c>
      <c r="M60" s="1468">
        <v>4.7279000000000002E-2</v>
      </c>
      <c r="N60" s="1469">
        <v>1.0175890374098129</v>
      </c>
      <c r="O60" s="1469">
        <v>1.0175890374098129</v>
      </c>
    </row>
    <row r="61" spans="2:15">
      <c r="B61" s="1385">
        <v>34274</v>
      </c>
      <c r="C61" s="1386">
        <v>5.7685216500000003</v>
      </c>
      <c r="D61" s="1386">
        <v>73.078046584524003</v>
      </c>
      <c r="E61" s="1387">
        <v>0</v>
      </c>
      <c r="F61" s="1387">
        <v>1</v>
      </c>
      <c r="K61" s="1466">
        <v>42118</v>
      </c>
      <c r="L61" s="1467" t="s">
        <v>2127</v>
      </c>
      <c r="M61" s="1468">
        <v>4.7279000000000002E-2</v>
      </c>
      <c r="N61" s="1469">
        <v>1.0180701433308097</v>
      </c>
      <c r="O61" s="1469">
        <v>1.0180701433308097</v>
      </c>
    </row>
    <row r="62" spans="2:15">
      <c r="B62" s="1385">
        <v>34304</v>
      </c>
      <c r="C62" s="1386">
        <v>7.9792505900000004</v>
      </c>
      <c r="D62" s="1386">
        <v>100</v>
      </c>
      <c r="E62" s="1387">
        <v>0</v>
      </c>
      <c r="F62" s="1387">
        <v>1</v>
      </c>
      <c r="K62" s="1466">
        <v>42119</v>
      </c>
      <c r="L62" s="1467"/>
      <c r="M62" s="1468">
        <v>0</v>
      </c>
      <c r="N62" s="1469">
        <v>1.0180701433308097</v>
      </c>
      <c r="O62" s="1469">
        <v>1.0180701433308097</v>
      </c>
    </row>
    <row r="63" spans="2:15">
      <c r="B63" s="1385">
        <v>34335</v>
      </c>
      <c r="C63" s="1386">
        <v>11.0967647</v>
      </c>
      <c r="D63" s="1386">
        <v>141.31</v>
      </c>
      <c r="E63" s="1387">
        <v>0</v>
      </c>
      <c r="F63" s="1387">
        <v>1</v>
      </c>
      <c r="K63" s="1466">
        <v>42120</v>
      </c>
      <c r="L63" s="1467"/>
      <c r="M63" s="1468">
        <v>0</v>
      </c>
      <c r="N63" s="1469">
        <v>1.0180701433308097</v>
      </c>
      <c r="O63" s="1469">
        <v>1.0180701433308097</v>
      </c>
    </row>
    <row r="64" spans="2:15">
      <c r="B64" s="1385">
        <v>34366</v>
      </c>
      <c r="C64" s="1386">
        <v>15.62186911</v>
      </c>
      <c r="D64" s="1386">
        <v>198.22</v>
      </c>
      <c r="E64" s="1387">
        <v>0</v>
      </c>
      <c r="F64" s="1387">
        <v>1</v>
      </c>
      <c r="K64" s="1466">
        <v>42121</v>
      </c>
      <c r="L64" s="1467" t="s">
        <v>2127</v>
      </c>
      <c r="M64" s="1468">
        <v>4.7314000000000002E-2</v>
      </c>
      <c r="N64" s="1469">
        <v>1.0185518330384251</v>
      </c>
      <c r="O64" s="1469">
        <v>1.0185518330384251</v>
      </c>
    </row>
    <row r="65" spans="2:15">
      <c r="B65" s="1385">
        <v>34394</v>
      </c>
      <c r="C65" s="1386">
        <v>22.762782099999999</v>
      </c>
      <c r="D65" s="1386">
        <v>282.95999999999998</v>
      </c>
      <c r="E65" s="1387">
        <v>0</v>
      </c>
      <c r="F65" s="1387">
        <v>1</v>
      </c>
      <c r="K65" s="1466">
        <v>42122</v>
      </c>
      <c r="L65" s="1467" t="s">
        <v>2127</v>
      </c>
      <c r="M65" s="1468">
        <v>4.7350000000000003E-2</v>
      </c>
      <c r="N65" s="1469">
        <v>1.0190341173313688</v>
      </c>
      <c r="O65" s="1469">
        <v>1.0190341173313688</v>
      </c>
    </row>
    <row r="66" spans="2:15">
      <c r="B66" s="1385">
        <v>34425</v>
      </c>
      <c r="C66" s="1386">
        <v>32.074938510000003</v>
      </c>
      <c r="D66" s="1386">
        <v>403.73</v>
      </c>
      <c r="E66" s="1387">
        <v>0</v>
      </c>
      <c r="F66" s="1387">
        <v>1</v>
      </c>
      <c r="K66" s="1466">
        <v>42123</v>
      </c>
      <c r="L66" s="1467" t="s">
        <v>2127</v>
      </c>
      <c r="M66" s="1468">
        <v>4.7350000000000003E-2</v>
      </c>
      <c r="N66" s="1469">
        <v>1.0195166299859253</v>
      </c>
      <c r="O66" s="1469">
        <v>1.0195166299859253</v>
      </c>
    </row>
    <row r="67" spans="2:15">
      <c r="B67" s="1385">
        <v>34455</v>
      </c>
      <c r="C67" s="1386">
        <v>45.731576959999998</v>
      </c>
      <c r="D67" s="1386">
        <v>581.49</v>
      </c>
      <c r="E67" s="1387">
        <v>0</v>
      </c>
      <c r="F67" s="1387">
        <v>1</v>
      </c>
      <c r="K67" s="1466">
        <v>42124</v>
      </c>
      <c r="L67" s="1467" t="s">
        <v>2127</v>
      </c>
      <c r="M67" s="1468">
        <v>4.9036999999999997E-2</v>
      </c>
      <c r="N67" s="1469">
        <v>1.0200165703557715</v>
      </c>
      <c r="O67" s="1469">
        <v>1.0200165703557715</v>
      </c>
    </row>
    <row r="68" spans="2:15">
      <c r="B68" s="1385">
        <v>34486</v>
      </c>
      <c r="C68" s="1386">
        <v>66.408212939999999</v>
      </c>
      <c r="D68" s="1386">
        <v>857.29</v>
      </c>
      <c r="E68" s="1387">
        <v>0</v>
      </c>
      <c r="F68" s="1387">
        <v>1</v>
      </c>
      <c r="K68" s="1466">
        <v>42125</v>
      </c>
      <c r="L68" s="1467"/>
      <c r="M68" s="1468">
        <v>0</v>
      </c>
      <c r="N68" s="1469">
        <v>1.0200165703557715</v>
      </c>
      <c r="O68" s="1469">
        <v>1.0200165703557715</v>
      </c>
    </row>
    <row r="69" spans="2:15">
      <c r="B69" s="1385">
        <v>34516</v>
      </c>
      <c r="C69" s="1386">
        <v>92.968426030000003</v>
      </c>
      <c r="D69" s="1386">
        <v>915.93</v>
      </c>
      <c r="E69" s="1387">
        <v>0</v>
      </c>
      <c r="F69" s="1387">
        <v>1</v>
      </c>
      <c r="K69" s="1466">
        <v>42126</v>
      </c>
      <c r="L69" s="1467"/>
      <c r="M69" s="1468">
        <v>0</v>
      </c>
      <c r="N69" s="1469">
        <v>1.0200165703557715</v>
      </c>
      <c r="O69" s="1469">
        <v>1.0200165703557715</v>
      </c>
    </row>
    <row r="70" spans="2:15">
      <c r="B70" s="1385">
        <v>34547</v>
      </c>
      <c r="C70" s="1386">
        <v>100</v>
      </c>
      <c r="D70" s="1386">
        <v>932.97</v>
      </c>
      <c r="E70" s="1387">
        <v>1.0417031360600404</v>
      </c>
      <c r="F70" s="1387">
        <v>1.0417031360600404</v>
      </c>
      <c r="K70" s="1466">
        <v>42127</v>
      </c>
      <c r="L70" s="1467"/>
      <c r="M70" s="1468">
        <v>0</v>
      </c>
      <c r="N70" s="1469">
        <v>1.0200165703557715</v>
      </c>
      <c r="O70" s="1469">
        <v>1.0200165703557715</v>
      </c>
    </row>
    <row r="71" spans="2:15">
      <c r="B71" s="1385">
        <v>34578</v>
      </c>
      <c r="C71" s="1386">
        <v>101.751</v>
      </c>
      <c r="D71" s="1386">
        <v>947.24</v>
      </c>
      <c r="E71" s="1387">
        <v>1.040191380612066</v>
      </c>
      <c r="F71" s="1387">
        <v>1.0835706232862121</v>
      </c>
      <c r="K71" s="1466">
        <v>42128</v>
      </c>
      <c r="L71" s="1467" t="s">
        <v>2127</v>
      </c>
      <c r="M71" s="1468">
        <v>4.9036999999999997E-2</v>
      </c>
      <c r="N71" s="1469">
        <v>1.020516755881377</v>
      </c>
      <c r="O71" s="1469">
        <v>1.020516755881377</v>
      </c>
    </row>
    <row r="72" spans="2:15">
      <c r="B72" s="1385">
        <v>34608</v>
      </c>
      <c r="C72" s="1386">
        <v>103.602</v>
      </c>
      <c r="D72" s="1386">
        <v>972.06</v>
      </c>
      <c r="E72" s="1387">
        <v>1.0400235119965635</v>
      </c>
      <c r="F72" s="1387">
        <v>1.1269389251264317</v>
      </c>
      <c r="K72" s="1466">
        <v>42129</v>
      </c>
      <c r="L72" s="1467" t="s">
        <v>2127</v>
      </c>
      <c r="M72" s="1468">
        <v>4.9036999999999997E-2</v>
      </c>
      <c r="N72" s="1469">
        <v>1.0210171866829587</v>
      </c>
      <c r="O72" s="1469">
        <v>1.0210171866829587</v>
      </c>
    </row>
    <row r="73" spans="2:15">
      <c r="B73" s="1385">
        <v>34639</v>
      </c>
      <c r="C73" s="1386">
        <v>106.553</v>
      </c>
      <c r="D73" s="1386">
        <v>999.37</v>
      </c>
      <c r="E73" s="1387">
        <v>1.0448704061969656</v>
      </c>
      <c r="F73" s="1387">
        <v>1.1775051324560264</v>
      </c>
      <c r="K73" s="1466">
        <v>42130</v>
      </c>
      <c r="L73" s="1467" t="s">
        <v>2127</v>
      </c>
      <c r="M73" s="1468">
        <v>4.9036999999999997E-2</v>
      </c>
      <c r="N73" s="1469">
        <v>1.0215178628807926</v>
      </c>
      <c r="O73" s="1469">
        <v>1.0215178628807926</v>
      </c>
    </row>
    <row r="74" spans="2:15">
      <c r="B74" s="1385">
        <v>34669</v>
      </c>
      <c r="C74" s="1386">
        <v>107.45</v>
      </c>
      <c r="D74" s="1386">
        <v>1016.46</v>
      </c>
      <c r="E74" s="1387">
        <v>1.0379749903132509</v>
      </c>
      <c r="F74" s="1387">
        <v>1.2222208784548472</v>
      </c>
      <c r="K74" s="1466">
        <v>42131</v>
      </c>
      <c r="L74" s="1467" t="s">
        <v>2127</v>
      </c>
      <c r="M74" s="1468">
        <v>4.9036999999999997E-2</v>
      </c>
      <c r="N74" s="1469">
        <v>1.0220187845952136</v>
      </c>
      <c r="O74" s="1469">
        <v>1.0220187845952136</v>
      </c>
    </row>
    <row r="75" spans="2:15">
      <c r="B75" s="1385">
        <v>34700</v>
      </c>
      <c r="C75" s="1386">
        <v>108.44199999999999</v>
      </c>
      <c r="D75" s="1386">
        <v>1033.74</v>
      </c>
      <c r="E75" s="1387">
        <v>1.033745155557255</v>
      </c>
      <c r="F75" s="1387">
        <v>1.2634649121236308</v>
      </c>
      <c r="K75" s="1466">
        <v>42132</v>
      </c>
      <c r="L75" s="1467" t="s">
        <v>2127</v>
      </c>
      <c r="M75" s="1468">
        <v>4.9036999999999997E-2</v>
      </c>
      <c r="N75" s="1469">
        <v>1.0225199519466155</v>
      </c>
      <c r="O75" s="1469">
        <v>1.0225199519466155</v>
      </c>
    </row>
    <row r="76" spans="2:15">
      <c r="B76" s="1385">
        <v>34731</v>
      </c>
      <c r="C76" s="1386">
        <v>109.9455</v>
      </c>
      <c r="D76" s="1386">
        <v>1044.28</v>
      </c>
      <c r="E76" s="1387">
        <v>1.0361946548110796</v>
      </c>
      <c r="F76" s="1387">
        <v>1.3091955884838566</v>
      </c>
      <c r="K76" s="1466">
        <v>42133</v>
      </c>
      <c r="L76" s="1467"/>
      <c r="M76" s="1468">
        <v>0</v>
      </c>
      <c r="N76" s="1469">
        <v>1.0225199519466155</v>
      </c>
      <c r="O76" s="1469">
        <v>1.0225199519466155</v>
      </c>
    </row>
    <row r="77" spans="2:15">
      <c r="B77" s="1385">
        <v>34759</v>
      </c>
      <c r="C77" s="1386">
        <v>111.178</v>
      </c>
      <c r="D77" s="1386">
        <v>1060.47</v>
      </c>
      <c r="E77" s="1387">
        <v>1.0426211014987152</v>
      </c>
      <c r="F77" s="1387">
        <v>1.3649949465422972</v>
      </c>
      <c r="K77" s="1466">
        <v>42134</v>
      </c>
      <c r="L77" s="1467"/>
      <c r="M77" s="1468">
        <v>0</v>
      </c>
      <c r="N77" s="1469">
        <v>1.0225199519466155</v>
      </c>
      <c r="O77" s="1469">
        <v>1.0225199519466155</v>
      </c>
    </row>
    <row r="78" spans="2:15">
      <c r="B78" s="1385">
        <v>34790</v>
      </c>
      <c r="C78" s="1386">
        <v>113.518</v>
      </c>
      <c r="D78" s="1386">
        <v>1086.24</v>
      </c>
      <c r="E78" s="1387">
        <v>1.0502446731743562</v>
      </c>
      <c r="F78" s="1387">
        <v>1.4335786715159629</v>
      </c>
      <c r="K78" s="1466">
        <v>42135</v>
      </c>
      <c r="L78" s="1467" t="s">
        <v>2127</v>
      </c>
      <c r="M78" s="1468">
        <v>4.9036999999999997E-2</v>
      </c>
      <c r="N78" s="1469">
        <v>1.0230213650554516</v>
      </c>
      <c r="O78" s="1469">
        <v>1.0230213650554516</v>
      </c>
    </row>
    <row r="79" spans="2:15">
      <c r="B79" s="1385">
        <v>34820</v>
      </c>
      <c r="C79" s="1386">
        <v>114.17100000000001</v>
      </c>
      <c r="D79" s="1386">
        <v>1115.24</v>
      </c>
      <c r="E79" s="1387">
        <v>1.0450356278102417</v>
      </c>
      <c r="F79" s="1387">
        <v>1.4981407870030565</v>
      </c>
      <c r="K79" s="1466">
        <v>42136</v>
      </c>
      <c r="L79" s="1467" t="s">
        <v>2127</v>
      </c>
      <c r="M79" s="1468">
        <v>4.9036999999999997E-2</v>
      </c>
      <c r="N79" s="1469">
        <v>1.0235230240422339</v>
      </c>
      <c r="O79" s="1469">
        <v>1.0235230240422339</v>
      </c>
    </row>
    <row r="80" spans="2:15">
      <c r="B80" s="1385">
        <v>34851</v>
      </c>
      <c r="C80" s="1386">
        <v>116.98399999999999</v>
      </c>
      <c r="D80" s="1386">
        <v>1140.44</v>
      </c>
      <c r="E80" s="1387">
        <v>1.0423602226147934</v>
      </c>
      <c r="F80" s="1387">
        <v>1.5616023642488079</v>
      </c>
      <c r="K80" s="1466">
        <v>42137</v>
      </c>
      <c r="L80" s="1467" t="s">
        <v>2127</v>
      </c>
      <c r="M80" s="1468">
        <v>4.9036999999999997E-2</v>
      </c>
      <c r="N80" s="1469">
        <v>1.0240249290275336</v>
      </c>
      <c r="O80" s="1469">
        <v>1.0240249290275336</v>
      </c>
    </row>
    <row r="81" spans="2:15">
      <c r="B81" s="1385">
        <v>34881</v>
      </c>
      <c r="C81" s="1386">
        <v>119.114</v>
      </c>
      <c r="D81" s="1386">
        <v>1167.3499999999999</v>
      </c>
      <c r="E81" s="1387">
        <v>1.0402311780170954</v>
      </c>
      <c r="F81" s="1387">
        <v>1.6244274669568188</v>
      </c>
      <c r="K81" s="1466">
        <v>42138</v>
      </c>
      <c r="L81" s="1467" t="s">
        <v>2127</v>
      </c>
      <c r="M81" s="1468">
        <v>4.9036999999999997E-2</v>
      </c>
      <c r="N81" s="1469">
        <v>1.024527080131981</v>
      </c>
      <c r="O81" s="1469">
        <v>1.024527080131981</v>
      </c>
    </row>
    <row r="82" spans="2:15">
      <c r="B82" s="1385">
        <v>34912</v>
      </c>
      <c r="C82" s="1386">
        <v>121.729</v>
      </c>
      <c r="D82" s="1386">
        <v>1178.9100000000001</v>
      </c>
      <c r="E82" s="1386">
        <v>1.0383979241220025</v>
      </c>
      <c r="F82" s="1386">
        <v>1.6868021095747234</v>
      </c>
      <c r="G82" s="7">
        <v>41036.512291666666</v>
      </c>
      <c r="K82" s="1466">
        <v>42139</v>
      </c>
      <c r="L82" s="1467" t="s">
        <v>2127</v>
      </c>
      <c r="M82" s="1468">
        <v>4.9036999999999997E-2</v>
      </c>
      <c r="N82" s="1469">
        <v>1.0250294774762654</v>
      </c>
      <c r="O82" s="1469">
        <v>1.0250294774762654</v>
      </c>
    </row>
    <row r="83" spans="2:15">
      <c r="B83" s="1385">
        <v>34943</v>
      </c>
      <c r="C83" s="1386">
        <v>120.869</v>
      </c>
      <c r="D83" s="1386">
        <v>1190.58</v>
      </c>
      <c r="E83" s="1386">
        <v>1.0349384575781275</v>
      </c>
      <c r="F83" s="1386">
        <v>1.745736373522796</v>
      </c>
      <c r="K83" s="1466">
        <v>42140</v>
      </c>
      <c r="L83" s="1467"/>
      <c r="M83" s="1468">
        <v>0</v>
      </c>
      <c r="N83" s="1469">
        <v>1.0250294774762654</v>
      </c>
      <c r="O83" s="1469">
        <v>1.0250294774762654</v>
      </c>
    </row>
    <row r="84" spans="2:15">
      <c r="B84" s="1385">
        <v>34973</v>
      </c>
      <c r="C84" s="1386">
        <v>121.503</v>
      </c>
      <c r="D84" s="1386">
        <v>1207.3699999999999</v>
      </c>
      <c r="E84" s="1386">
        <v>1.0324041438440343</v>
      </c>
      <c r="F84" s="1386">
        <v>1.8023054660841915</v>
      </c>
      <c r="K84" s="1466">
        <v>42141</v>
      </c>
      <c r="L84" s="1467"/>
      <c r="M84" s="1468">
        <v>0</v>
      </c>
      <c r="N84" s="1469">
        <v>1.0250294774762654</v>
      </c>
      <c r="O84" s="1469">
        <v>1.0250294774762654</v>
      </c>
    </row>
    <row r="85" spans="2:15">
      <c r="B85" s="1385">
        <v>35004</v>
      </c>
      <c r="C85" s="1386">
        <v>122.955</v>
      </c>
      <c r="D85" s="1386">
        <v>1225.1199999999999</v>
      </c>
      <c r="E85" s="1386">
        <v>1.0316999077357936</v>
      </c>
      <c r="F85" s="1386">
        <v>1.8594383830707768</v>
      </c>
      <c r="K85" s="1466">
        <v>42142</v>
      </c>
      <c r="L85" s="1467" t="s">
        <v>2127</v>
      </c>
      <c r="M85" s="1468">
        <v>4.9036999999999997E-2</v>
      </c>
      <c r="N85" s="1469">
        <v>1.0255321211811355</v>
      </c>
      <c r="O85" s="1469">
        <v>1.0255321211811355</v>
      </c>
    </row>
    <row r="86" spans="2:15">
      <c r="B86" s="1385">
        <v>35034</v>
      </c>
      <c r="C86" s="1386">
        <v>123.833</v>
      </c>
      <c r="D86" s="1386">
        <v>1244.23</v>
      </c>
      <c r="E86" s="1386">
        <v>1.0292086837764389</v>
      </c>
      <c r="F86" s="1386">
        <v>1.913750130803664</v>
      </c>
      <c r="K86" s="1466">
        <v>42143</v>
      </c>
      <c r="L86" s="1467" t="s">
        <v>2127</v>
      </c>
      <c r="M86" s="1468">
        <v>4.9036999999999997E-2</v>
      </c>
      <c r="N86" s="1469">
        <v>1.0260350113673991</v>
      </c>
      <c r="O86" s="1469">
        <v>1.0260350113673991</v>
      </c>
    </row>
    <row r="87" spans="2:15">
      <c r="B87" s="1385">
        <v>35065</v>
      </c>
      <c r="C87" s="1386">
        <v>125.977</v>
      </c>
      <c r="D87" s="1386">
        <v>1260.9000000000001</v>
      </c>
      <c r="E87" s="1386">
        <v>1.0271429062533448</v>
      </c>
      <c r="F87" s="1386">
        <v>1.9656948711963942</v>
      </c>
      <c r="K87" s="1466">
        <v>42144</v>
      </c>
      <c r="L87" s="1467" t="s">
        <v>2127</v>
      </c>
      <c r="M87" s="1468">
        <v>4.9036999999999997E-2</v>
      </c>
      <c r="N87" s="1469">
        <v>1.0265381481559233</v>
      </c>
      <c r="O87" s="1469">
        <v>1.0265381481559233</v>
      </c>
    </row>
    <row r="88" spans="2:15">
      <c r="B88" s="1385">
        <v>35096</v>
      </c>
      <c r="C88" s="1386">
        <v>127.202</v>
      </c>
      <c r="D88" s="1386">
        <v>1273.8900000000001</v>
      </c>
      <c r="E88" s="1386">
        <v>1.026088709032714</v>
      </c>
      <c r="F88" s="1386">
        <v>2.0169773127381352</v>
      </c>
      <c r="K88" s="1466">
        <v>42145</v>
      </c>
      <c r="L88" s="1467" t="s">
        <v>2127</v>
      </c>
      <c r="M88" s="1468">
        <v>4.9036999999999997E-2</v>
      </c>
      <c r="N88" s="1469">
        <v>1.0270415316676345</v>
      </c>
      <c r="O88" s="1469">
        <v>1.0270415316676345</v>
      </c>
    </row>
    <row r="89" spans="2:15">
      <c r="B89" s="1385">
        <v>35125</v>
      </c>
      <c r="C89" s="1386">
        <v>127.715</v>
      </c>
      <c r="D89" s="1386">
        <v>1278.3499999999999</v>
      </c>
      <c r="E89" s="1386">
        <v>1.0222082178682002</v>
      </c>
      <c r="F89" s="1386">
        <v>2.0617707843346404</v>
      </c>
      <c r="K89" s="1466">
        <v>42146</v>
      </c>
      <c r="L89" s="1467" t="s">
        <v>2127</v>
      </c>
      <c r="M89" s="1468">
        <v>4.9036999999999997E-2</v>
      </c>
      <c r="N89" s="1469">
        <v>1.0275451620235183</v>
      </c>
      <c r="O89" s="1469">
        <v>1.0275451620235183</v>
      </c>
    </row>
    <row r="90" spans="2:15">
      <c r="B90" s="1385">
        <v>35156</v>
      </c>
      <c r="C90" s="1386">
        <v>128.13</v>
      </c>
      <c r="D90" s="1386">
        <v>1294.46</v>
      </c>
      <c r="E90" s="1386">
        <v>1.0227569082086725</v>
      </c>
      <c r="F90" s="1386">
        <v>2.1086903128210666</v>
      </c>
      <c r="K90" s="1466">
        <v>42147</v>
      </c>
      <c r="L90" s="1467"/>
      <c r="M90" s="1468">
        <v>0</v>
      </c>
      <c r="N90" s="1469">
        <v>1.0275451620235183</v>
      </c>
      <c r="O90" s="1469">
        <v>1.0275451620235183</v>
      </c>
    </row>
    <row r="91" spans="2:15">
      <c r="B91" s="1385">
        <v>35186</v>
      </c>
      <c r="C91" s="1386">
        <v>130.12100000000001</v>
      </c>
      <c r="D91" s="1386">
        <v>1310.25</v>
      </c>
      <c r="E91" s="1386">
        <v>1.0210626514511167</v>
      </c>
      <c r="F91" s="1386">
        <v>2.1531049218983629</v>
      </c>
      <c r="K91" s="1466">
        <v>42148</v>
      </c>
      <c r="L91" s="1467"/>
      <c r="M91" s="1468">
        <v>0</v>
      </c>
      <c r="N91" s="1469">
        <v>1.0275451620235183</v>
      </c>
      <c r="O91" s="1469">
        <v>1.0275451620235183</v>
      </c>
    </row>
    <row r="92" spans="2:15">
      <c r="B92" s="1385">
        <v>35217</v>
      </c>
      <c r="C92" s="1386">
        <v>131.44499999999999</v>
      </c>
      <c r="D92" s="1386">
        <v>1325.84</v>
      </c>
      <c r="E92" s="1386">
        <v>1.020826552130859</v>
      </c>
      <c r="F92" s="1386">
        <v>2.1979466737974884</v>
      </c>
      <c r="K92" s="1466">
        <v>42149</v>
      </c>
      <c r="L92" s="1467" t="s">
        <v>2127</v>
      </c>
      <c r="M92" s="1468">
        <v>4.9036999999999997E-2</v>
      </c>
      <c r="N92" s="1469">
        <v>1.0280490393446198</v>
      </c>
      <c r="O92" s="1469">
        <v>1.0280490393446198</v>
      </c>
    </row>
    <row r="93" spans="2:15">
      <c r="B93" s="1385">
        <v>35247</v>
      </c>
      <c r="C93" s="1386">
        <v>133.21299999999999</v>
      </c>
      <c r="D93" s="1386">
        <v>1340.56</v>
      </c>
      <c r="E93" s="1386">
        <v>1.0192856968560815</v>
      </c>
      <c r="F93" s="1386">
        <v>2.2403356070541793</v>
      </c>
      <c r="K93" s="1466">
        <v>42150</v>
      </c>
      <c r="L93" s="1467" t="s">
        <v>2127</v>
      </c>
      <c r="M93" s="1468">
        <v>4.9036999999999997E-2</v>
      </c>
      <c r="N93" s="1469">
        <v>1.0285531637520433</v>
      </c>
      <c r="O93" s="1469">
        <v>1.0285531637520433</v>
      </c>
    </row>
    <row r="94" spans="2:15">
      <c r="B94" s="1385">
        <v>35278</v>
      </c>
      <c r="C94" s="1386">
        <v>133.58699999999999</v>
      </c>
      <c r="D94" s="1386">
        <v>1346.46</v>
      </c>
      <c r="E94" s="1386">
        <v>1.0196791435025818</v>
      </c>
      <c r="F94" s="1386">
        <v>2.2844234929593421</v>
      </c>
      <c r="K94" s="1466">
        <v>42151</v>
      </c>
      <c r="L94" s="1467" t="s">
        <v>2127</v>
      </c>
      <c r="M94" s="1468">
        <v>4.9036999999999997E-2</v>
      </c>
      <c r="N94" s="1469">
        <v>1.0290575353669524</v>
      </c>
      <c r="O94" s="1469">
        <v>1.0290575353669524</v>
      </c>
    </row>
    <row r="95" spans="2:15">
      <c r="B95" s="1385">
        <v>35309</v>
      </c>
      <c r="C95" s="1386">
        <v>133.72200000000001</v>
      </c>
      <c r="D95" s="1386">
        <v>1348.48</v>
      </c>
      <c r="E95" s="1386">
        <v>1.0190405257020327</v>
      </c>
      <c r="F95" s="1386">
        <v>2.3279201171913617</v>
      </c>
      <c r="K95" s="1466">
        <v>42152</v>
      </c>
      <c r="L95" s="1467" t="s">
        <v>2127</v>
      </c>
      <c r="M95" s="1468">
        <v>4.9036999999999997E-2</v>
      </c>
      <c r="N95" s="1469">
        <v>1.0295621543105704</v>
      </c>
      <c r="O95" s="1469">
        <v>1.0295621543105704</v>
      </c>
    </row>
    <row r="96" spans="2:15">
      <c r="B96" s="1385">
        <v>35339</v>
      </c>
      <c r="C96" s="1386">
        <v>133.97800000000001</v>
      </c>
      <c r="D96" s="1386">
        <v>1352.53</v>
      </c>
      <c r="E96" s="1386">
        <v>1.0194350405573067</v>
      </c>
      <c r="F96" s="1386">
        <v>2.3731633390831459</v>
      </c>
      <c r="K96" s="1466">
        <v>42153</v>
      </c>
      <c r="L96" s="1467" t="s">
        <v>2127</v>
      </c>
      <c r="M96" s="1468">
        <v>4.9036999999999997E-2</v>
      </c>
      <c r="N96" s="1469">
        <v>1.0300670207041798</v>
      </c>
      <c r="O96" s="1469">
        <v>1.0300670207041798</v>
      </c>
    </row>
    <row r="97" spans="2:15">
      <c r="B97" s="1385">
        <v>35370</v>
      </c>
      <c r="C97" s="1386">
        <v>134.24199999999999</v>
      </c>
      <c r="D97" s="1386">
        <v>1356.86</v>
      </c>
      <c r="E97" s="1386">
        <v>1.018952291397875</v>
      </c>
      <c r="F97" s="1386">
        <v>2.4181402222202037</v>
      </c>
      <c r="K97" s="1466">
        <v>42154</v>
      </c>
      <c r="L97" s="1467"/>
      <c r="M97" s="1468">
        <v>0</v>
      </c>
      <c r="N97" s="1469">
        <v>1.0300670207041798</v>
      </c>
      <c r="O97" s="1469">
        <v>1.0300670207041798</v>
      </c>
    </row>
    <row r="98" spans="2:15">
      <c r="B98" s="1385">
        <v>35400</v>
      </c>
      <c r="C98" s="1386">
        <v>135.22499999999999</v>
      </c>
      <c r="D98" s="1386">
        <v>1363.24</v>
      </c>
      <c r="E98" s="1386">
        <v>1.0189221360623306</v>
      </c>
      <c r="F98" s="1386">
        <v>2.4638966005228489</v>
      </c>
      <c r="K98" s="1466">
        <v>42155</v>
      </c>
      <c r="L98" s="1467"/>
      <c r="M98" s="1468">
        <v>0</v>
      </c>
      <c r="N98" s="1469">
        <v>1.0300670207041798</v>
      </c>
      <c r="O98" s="1469">
        <v>1.0300670207041798</v>
      </c>
    </row>
    <row r="99" spans="2:15">
      <c r="B99" s="1385">
        <v>35431</v>
      </c>
      <c r="C99" s="1386">
        <v>137.613</v>
      </c>
      <c r="D99" s="1386">
        <v>1379.33</v>
      </c>
      <c r="E99" s="1386">
        <v>1.0182168360386268</v>
      </c>
      <c r="F99" s="1386">
        <v>2.5087810009107034</v>
      </c>
      <c r="K99" s="1466">
        <v>42156</v>
      </c>
      <c r="L99" s="1467" t="s">
        <v>2127</v>
      </c>
      <c r="M99" s="1468">
        <v>4.9036999999999997E-2</v>
      </c>
      <c r="N99" s="1469">
        <v>1.0305721346691226</v>
      </c>
      <c r="O99" s="1469">
        <v>1.0305721346691226</v>
      </c>
    </row>
    <row r="100" spans="2:15">
      <c r="B100" s="1385">
        <v>35462</v>
      </c>
      <c r="C100" s="1386">
        <v>138.20400000000001</v>
      </c>
      <c r="D100" s="1386">
        <v>1386.23</v>
      </c>
      <c r="E100" s="1386">
        <v>1.018615977536991</v>
      </c>
      <c r="F100" s="1386">
        <v>2.5554844116688868</v>
      </c>
      <c r="K100" s="1466">
        <v>42157</v>
      </c>
      <c r="L100" s="1467" t="s">
        <v>2127</v>
      </c>
      <c r="M100" s="1468">
        <v>4.9036999999999997E-2</v>
      </c>
      <c r="N100" s="1469">
        <v>1.0310774963268003</v>
      </c>
      <c r="O100" s="1469">
        <v>1.0310774963268003</v>
      </c>
    </row>
    <row r="101" spans="2:15">
      <c r="B101" s="1385">
        <v>35490</v>
      </c>
      <c r="C101" s="1386">
        <v>139.79499999999999</v>
      </c>
      <c r="D101" s="1386">
        <v>1393.3</v>
      </c>
      <c r="E101" s="1386">
        <v>1.0181653196053577</v>
      </c>
      <c r="F101" s="1386">
        <v>2.6019056027533618</v>
      </c>
      <c r="K101" s="1466">
        <v>42158</v>
      </c>
      <c r="L101" s="1467" t="s">
        <v>2127</v>
      </c>
      <c r="M101" s="1468">
        <v>4.9036999999999997E-2</v>
      </c>
      <c r="N101" s="1469">
        <v>1.0315831057986742</v>
      </c>
      <c r="O101" s="1469">
        <v>1.0315831057986742</v>
      </c>
    </row>
    <row r="102" spans="2:15">
      <c r="B102" s="1385">
        <v>35521</v>
      </c>
      <c r="C102" s="1386">
        <v>140.74199999999999</v>
      </c>
      <c r="D102" s="1386">
        <v>1405.56</v>
      </c>
      <c r="E102" s="1386">
        <v>1.0174130782041242</v>
      </c>
      <c r="F102" s="1386">
        <v>2.6472127884938548</v>
      </c>
      <c r="K102" s="1466">
        <v>42159</v>
      </c>
      <c r="L102" s="1467"/>
      <c r="M102" s="1468">
        <v>0</v>
      </c>
      <c r="N102" s="1469">
        <v>1.0315831057986742</v>
      </c>
      <c r="O102" s="1469">
        <v>1.0315831057986742</v>
      </c>
    </row>
    <row r="103" spans="2:15">
      <c r="B103" s="1385">
        <v>35551</v>
      </c>
      <c r="C103" s="1386">
        <v>141.04</v>
      </c>
      <c r="D103" s="1386">
        <v>1411.32</v>
      </c>
      <c r="E103" s="1386">
        <v>1.0173859708262292</v>
      </c>
      <c r="F103" s="1386">
        <v>2.6932371528054295</v>
      </c>
      <c r="K103" s="1466">
        <v>42160</v>
      </c>
      <c r="L103" s="1467" t="s">
        <v>2127</v>
      </c>
      <c r="M103" s="1468">
        <v>5.0788E-2</v>
      </c>
      <c r="N103" s="1469">
        <v>1.0321070262264471</v>
      </c>
      <c r="O103" s="1469">
        <v>1.0321070262264471</v>
      </c>
    </row>
    <row r="104" spans="2:15">
      <c r="B104" s="1385">
        <v>35582</v>
      </c>
      <c r="C104" s="1386">
        <v>142.09</v>
      </c>
      <c r="D104" s="1386">
        <v>1418.94</v>
      </c>
      <c r="E104" s="1386">
        <v>1.0160683269749473</v>
      </c>
      <c r="F104" s="1386">
        <v>2.7365129679977831</v>
      </c>
      <c r="K104" s="1466">
        <v>42161</v>
      </c>
      <c r="L104" s="1467"/>
      <c r="M104" s="1468">
        <v>0</v>
      </c>
      <c r="N104" s="1469">
        <v>1.0321070262264471</v>
      </c>
      <c r="O104" s="1469">
        <v>1.0321070262264471</v>
      </c>
    </row>
    <row r="105" spans="2:15">
      <c r="B105" s="1385">
        <v>35612</v>
      </c>
      <c r="C105" s="1386">
        <v>142.221</v>
      </c>
      <c r="D105" s="1386">
        <v>1422.06</v>
      </c>
      <c r="E105" s="1386">
        <v>1.0160384417373229</v>
      </c>
      <c r="F105" s="1386">
        <v>2.7804023717984441</v>
      </c>
      <c r="K105" s="1466">
        <v>42162</v>
      </c>
      <c r="L105" s="1467"/>
      <c r="M105" s="1468">
        <v>0</v>
      </c>
      <c r="N105" s="1469">
        <v>1.0321070262264471</v>
      </c>
      <c r="O105" s="1469">
        <v>1.0321070262264471</v>
      </c>
    </row>
    <row r="106" spans="2:15">
      <c r="B106" s="1385">
        <v>35643</v>
      </c>
      <c r="C106" s="1386">
        <v>142.35300000000001</v>
      </c>
      <c r="D106" s="1386">
        <v>1421.78</v>
      </c>
      <c r="E106" s="1386">
        <v>1.0158585469231169</v>
      </c>
      <c r="F106" s="1386">
        <v>2.8244955132767555</v>
      </c>
      <c r="K106" s="1466">
        <v>42163</v>
      </c>
      <c r="L106" s="1467" t="s">
        <v>2127</v>
      </c>
      <c r="M106" s="1468">
        <v>5.0788E-2</v>
      </c>
      <c r="N106" s="1469">
        <v>1.0326312127429271</v>
      </c>
      <c r="O106" s="1469">
        <v>1.0326312127429271</v>
      </c>
    </row>
    <row r="107" spans="2:15">
      <c r="B107" s="1385">
        <v>35674</v>
      </c>
      <c r="C107" s="1386">
        <v>143.042</v>
      </c>
      <c r="D107" s="1386">
        <v>1422.63</v>
      </c>
      <c r="E107" s="1386">
        <v>1.0159028051900765</v>
      </c>
      <c r="F107" s="1386">
        <v>2.869412915184641</v>
      </c>
      <c r="K107" s="1466">
        <v>42164</v>
      </c>
      <c r="L107" s="1467" t="s">
        <v>2127</v>
      </c>
      <c r="M107" s="1468">
        <v>5.0788E-2</v>
      </c>
      <c r="N107" s="1469">
        <v>1.033155665483255</v>
      </c>
      <c r="O107" s="1469">
        <v>1.033155665483255</v>
      </c>
    </row>
    <row r="108" spans="2:15">
      <c r="B108" s="1385">
        <v>35704</v>
      </c>
      <c r="C108" s="1386">
        <v>143.56700000000001</v>
      </c>
      <c r="D108" s="1386">
        <v>1425.9</v>
      </c>
      <c r="E108" s="1386">
        <v>1.0167288802763557</v>
      </c>
      <c r="F108" s="1386">
        <v>2.9174149803061935</v>
      </c>
      <c r="K108" s="1466">
        <v>42165</v>
      </c>
      <c r="L108" s="1467" t="s">
        <v>2127</v>
      </c>
      <c r="M108" s="1468">
        <v>5.0788E-2</v>
      </c>
      <c r="N108" s="1469">
        <v>1.0336803845826406</v>
      </c>
      <c r="O108" s="1469">
        <v>1.0336803845826406</v>
      </c>
    </row>
    <row r="109" spans="2:15">
      <c r="B109" s="1385">
        <v>35735</v>
      </c>
      <c r="C109" s="1386">
        <v>144.48099999999999</v>
      </c>
      <c r="D109" s="1386">
        <v>1428.32</v>
      </c>
      <c r="E109" s="1386">
        <v>1.0304347964479648</v>
      </c>
      <c r="F109" s="1386">
        <v>3.0062059113860555</v>
      </c>
      <c r="K109" s="1466">
        <v>42166</v>
      </c>
      <c r="L109" s="1467" t="s">
        <v>2127</v>
      </c>
      <c r="M109" s="1468">
        <v>5.0788E-2</v>
      </c>
      <c r="N109" s="1469">
        <v>1.0342053701763625</v>
      </c>
      <c r="O109" s="1469">
        <v>1.0342053701763625</v>
      </c>
    </row>
    <row r="110" spans="2:15">
      <c r="B110" s="1385">
        <v>35765</v>
      </c>
      <c r="C110" s="1386">
        <v>145.69499999999999</v>
      </c>
      <c r="D110" s="1386">
        <v>1434.46</v>
      </c>
      <c r="E110" s="1386">
        <v>1.0311549813439238</v>
      </c>
      <c r="F110" s="1386">
        <v>3.0998642004712815</v>
      </c>
      <c r="K110" s="1466">
        <v>42167</v>
      </c>
      <c r="L110" s="1467" t="s">
        <v>2127</v>
      </c>
      <c r="M110" s="1468">
        <v>5.0788E-2</v>
      </c>
      <c r="N110" s="1469">
        <v>1.0347306223997677</v>
      </c>
      <c r="O110" s="1469">
        <v>1.0347306223997677</v>
      </c>
    </row>
    <row r="111" spans="2:15">
      <c r="B111" s="1385">
        <v>35796</v>
      </c>
      <c r="C111" s="1386">
        <v>147.09100000000001</v>
      </c>
      <c r="D111" s="1386">
        <v>1444.64</v>
      </c>
      <c r="E111" s="1386">
        <v>1.0280960413836384</v>
      </c>
      <c r="F111" s="1386">
        <v>3.1869581133313818</v>
      </c>
      <c r="K111" s="1466">
        <v>42168</v>
      </c>
      <c r="L111" s="1467"/>
      <c r="M111" s="1468">
        <v>0</v>
      </c>
      <c r="N111" s="1469">
        <v>1.0347306223997677</v>
      </c>
      <c r="O111" s="1469">
        <v>1.0347306223997677</v>
      </c>
    </row>
    <row r="112" spans="2:15">
      <c r="B112" s="1385">
        <v>35827</v>
      </c>
      <c r="C112" s="1386">
        <v>147.35599999999999</v>
      </c>
      <c r="D112" s="1386">
        <v>1451.29</v>
      </c>
      <c r="E112" s="1386">
        <v>1.0236711069024262</v>
      </c>
      <c r="F112" s="1386">
        <v>3.2623969395256034</v>
      </c>
      <c r="K112" s="1466">
        <v>42169</v>
      </c>
      <c r="L112" s="1467"/>
      <c r="M112" s="1468">
        <v>0</v>
      </c>
      <c r="N112" s="1469">
        <v>1.0347306223997677</v>
      </c>
      <c r="O112" s="1469">
        <v>1.0347306223997677</v>
      </c>
    </row>
    <row r="113" spans="2:15">
      <c r="B113" s="1385">
        <v>35855</v>
      </c>
      <c r="C113" s="1386">
        <v>147.63499999999999</v>
      </c>
      <c r="D113" s="1386">
        <v>1456.22</v>
      </c>
      <c r="E113" s="1386">
        <v>1.0220072916308196</v>
      </c>
      <c r="F113" s="1386">
        <v>3.3341934603892365</v>
      </c>
      <c r="K113" s="1466">
        <v>42170</v>
      </c>
      <c r="L113" s="1467" t="s">
        <v>2127</v>
      </c>
      <c r="M113" s="1468">
        <v>5.0788E-2</v>
      </c>
      <c r="N113" s="1469">
        <v>1.0352561413882722</v>
      </c>
      <c r="O113" s="1469">
        <v>1.0352561413882722</v>
      </c>
    </row>
    <row r="114" spans="2:15">
      <c r="B114" s="1385">
        <v>35886</v>
      </c>
      <c r="C114" s="1386">
        <v>147.821</v>
      </c>
      <c r="D114" s="1386">
        <v>1459.71</v>
      </c>
      <c r="E114" s="1386">
        <v>1.0199031041694671</v>
      </c>
      <c r="F114" s="1386">
        <v>3.4005542601525192</v>
      </c>
      <c r="K114" s="1466">
        <v>42171</v>
      </c>
      <c r="L114" s="1467" t="s">
        <v>2127</v>
      </c>
      <c r="M114" s="1468">
        <v>5.0788E-2</v>
      </c>
      <c r="N114" s="1469">
        <v>1.0357819272773605</v>
      </c>
      <c r="O114" s="1469">
        <v>1.0357819272773605</v>
      </c>
    </row>
    <row r="115" spans="2:15">
      <c r="B115" s="1385">
        <v>35916</v>
      </c>
      <c r="C115" s="1386">
        <v>148.02099999999999</v>
      </c>
      <c r="D115" s="1386">
        <v>1467.01</v>
      </c>
      <c r="E115" s="1386">
        <v>1.0171306475499944</v>
      </c>
      <c r="F115" s="1386">
        <v>3.4588079566578238</v>
      </c>
      <c r="K115" s="1466">
        <v>42172</v>
      </c>
      <c r="L115" s="1467" t="s">
        <v>2127</v>
      </c>
      <c r="M115" s="1468">
        <v>5.0788E-2</v>
      </c>
      <c r="N115" s="1469">
        <v>1.0363079802025861</v>
      </c>
      <c r="O115" s="1469">
        <v>1.0363079802025861</v>
      </c>
    </row>
    <row r="116" spans="2:15">
      <c r="B116" s="1385">
        <v>35947</v>
      </c>
      <c r="C116" s="1386">
        <v>148.58799999999999</v>
      </c>
      <c r="D116" s="1386">
        <v>1467.3</v>
      </c>
      <c r="E116" s="1386">
        <v>1.0167959651913006</v>
      </c>
      <c r="F116" s="1386">
        <v>3.5169019747012422</v>
      </c>
      <c r="K116" s="1466">
        <v>42173</v>
      </c>
      <c r="L116" s="1467" t="s">
        <v>2127</v>
      </c>
      <c r="M116" s="1468">
        <v>5.0788E-2</v>
      </c>
      <c r="N116" s="1469">
        <v>1.0368343002995715</v>
      </c>
      <c r="O116" s="1469">
        <v>1.0368343002995715</v>
      </c>
    </row>
    <row r="117" spans="2:15">
      <c r="B117" s="1385">
        <v>35977</v>
      </c>
      <c r="C117" s="1386">
        <v>148.339</v>
      </c>
      <c r="D117" s="1386">
        <v>1465.54</v>
      </c>
      <c r="E117" s="1386">
        <v>1.0170373206405035</v>
      </c>
      <c r="F117" s="1386">
        <v>3.5768205613054471</v>
      </c>
      <c r="K117" s="1466">
        <v>42174</v>
      </c>
      <c r="L117" s="1467" t="s">
        <v>2127</v>
      </c>
      <c r="M117" s="1468">
        <v>5.0788E-2</v>
      </c>
      <c r="N117" s="1469">
        <v>1.0373608877040077</v>
      </c>
      <c r="O117" s="1469">
        <v>1.0373608877040077</v>
      </c>
    </row>
    <row r="118" spans="2:15">
      <c r="B118" s="1385">
        <v>36008</v>
      </c>
      <c r="C118" s="1386">
        <v>148.10900000000001</v>
      </c>
      <c r="D118" s="1386">
        <v>1458.07</v>
      </c>
      <c r="E118" s="1386">
        <v>1.0147631694962493</v>
      </c>
      <c r="F118" s="1386">
        <v>3.6296257695096692</v>
      </c>
      <c r="K118" s="1466">
        <v>42175</v>
      </c>
      <c r="L118" s="1467"/>
      <c r="M118" s="1468">
        <v>0</v>
      </c>
      <c r="N118" s="1469">
        <v>1.0373608877040077</v>
      </c>
      <c r="O118" s="1469">
        <v>1.0373608877040077</v>
      </c>
    </row>
    <row r="119" spans="2:15">
      <c r="B119" s="1385">
        <v>36039</v>
      </c>
      <c r="C119" s="1386">
        <v>147.98400000000001</v>
      </c>
      <c r="D119" s="1386">
        <v>1454.86</v>
      </c>
      <c r="E119" s="1386">
        <v>1.0255896332244516</v>
      </c>
      <c r="F119" s="1386">
        <v>3.7225065616934394</v>
      </c>
      <c r="K119" s="1466">
        <v>42176</v>
      </c>
      <c r="L119" s="1467"/>
      <c r="M119" s="1468">
        <v>0</v>
      </c>
      <c r="N119" s="1469">
        <v>1.0373608877040077</v>
      </c>
      <c r="O119" s="1469">
        <v>1.0373608877040077</v>
      </c>
    </row>
    <row r="120" spans="2:15">
      <c r="B120" s="1385">
        <v>36069</v>
      </c>
      <c r="C120" s="1386">
        <v>148.1</v>
      </c>
      <c r="D120" s="1386">
        <v>1455.15</v>
      </c>
      <c r="E120" s="1386">
        <v>1.0308188720930029</v>
      </c>
      <c r="F120" s="1386">
        <v>3.8372300152836338</v>
      </c>
      <c r="K120" s="1466">
        <v>42177</v>
      </c>
      <c r="L120" s="1467" t="s">
        <v>2127</v>
      </c>
      <c r="M120" s="1468">
        <v>5.0788E-2</v>
      </c>
      <c r="N120" s="1469">
        <v>1.0378877425516548</v>
      </c>
      <c r="O120" s="1469">
        <v>1.0378877425516548</v>
      </c>
    </row>
    <row r="121" spans="2:15">
      <c r="B121" s="1385">
        <v>36100</v>
      </c>
      <c r="C121" s="1386">
        <v>147.62799999999999</v>
      </c>
      <c r="D121" s="1386">
        <v>1453.4</v>
      </c>
      <c r="E121" s="1386">
        <v>1.0277678356785036</v>
      </c>
      <c r="F121" s="1386">
        <v>3.9437815878086515</v>
      </c>
      <c r="K121" s="1466">
        <v>42178</v>
      </c>
      <c r="L121" s="1467" t="s">
        <v>2127</v>
      </c>
      <c r="M121" s="1468">
        <v>5.0788E-2</v>
      </c>
      <c r="N121" s="1469">
        <v>1.038414864978342</v>
      </c>
      <c r="O121" s="1469">
        <v>1.038414864978342</v>
      </c>
    </row>
    <row r="122" spans="2:15">
      <c r="B122" s="1385">
        <v>36130</v>
      </c>
      <c r="C122" s="1386">
        <v>148.291</v>
      </c>
      <c r="D122" s="1386">
        <v>1458.2</v>
      </c>
      <c r="E122" s="1386">
        <v>1.025049538167373</v>
      </c>
      <c r="F122" s="1386">
        <v>4.0425714952162473</v>
      </c>
      <c r="K122" s="1466">
        <v>42179</v>
      </c>
      <c r="L122" s="1467" t="s">
        <v>2127</v>
      </c>
      <c r="M122" s="1468">
        <v>5.0788E-2</v>
      </c>
      <c r="N122" s="1469">
        <v>1.0389422551199672</v>
      </c>
      <c r="O122" s="1469">
        <v>1.0389422551199672</v>
      </c>
    </row>
    <row r="123" spans="2:15">
      <c r="B123" s="1385">
        <v>36161</v>
      </c>
      <c r="C123" s="1386">
        <v>149.53299999999999</v>
      </c>
      <c r="D123" s="1386">
        <v>1468.41</v>
      </c>
      <c r="E123" s="1386">
        <v>1.022811290449001</v>
      </c>
      <c r="F123" s="1386">
        <v>4.1347877677544771</v>
      </c>
      <c r="K123" s="1466">
        <v>42180</v>
      </c>
      <c r="L123" s="1467" t="s">
        <v>2127</v>
      </c>
      <c r="M123" s="1468">
        <v>5.0788E-2</v>
      </c>
      <c r="N123" s="1469">
        <v>1.0394699131124976</v>
      </c>
      <c r="O123" s="1469">
        <v>1.0394699131124976</v>
      </c>
    </row>
    <row r="124" spans="2:15">
      <c r="B124" s="1385">
        <v>36192</v>
      </c>
      <c r="C124" s="1386">
        <v>154.93299999999999</v>
      </c>
      <c r="D124" s="1386">
        <v>1483.83</v>
      </c>
      <c r="E124" s="1386">
        <v>1.0264662861429437</v>
      </c>
      <c r="F124" s="1386">
        <v>4.2442202439562102</v>
      </c>
      <c r="K124" s="1466">
        <v>42181</v>
      </c>
      <c r="L124" s="1467" t="s">
        <v>2127</v>
      </c>
      <c r="M124" s="1468">
        <v>5.0788E-2</v>
      </c>
      <c r="N124" s="1469">
        <v>1.0399978390919691</v>
      </c>
      <c r="O124" s="1469">
        <v>1.0399978390919691</v>
      </c>
    </row>
    <row r="125" spans="2:15">
      <c r="B125" s="1385">
        <v>36220</v>
      </c>
      <c r="C125" s="1386">
        <v>159.32499999999999</v>
      </c>
      <c r="D125" s="1386">
        <v>1500.15</v>
      </c>
      <c r="E125" s="1386">
        <v>1.033345195070198</v>
      </c>
      <c r="F125" s="1386">
        <v>4.3857445959118131</v>
      </c>
      <c r="K125" s="1466">
        <v>42182</v>
      </c>
      <c r="L125" s="1467"/>
      <c r="M125" s="1468">
        <v>0</v>
      </c>
      <c r="N125" s="1469">
        <v>1.0399978390919691</v>
      </c>
      <c r="O125" s="1469">
        <v>1.0399978390919691</v>
      </c>
    </row>
    <row r="126" spans="2:15">
      <c r="B126" s="1385">
        <v>36251</v>
      </c>
      <c r="C126" s="1386">
        <v>160.459</v>
      </c>
      <c r="D126" s="1386">
        <v>1508.55</v>
      </c>
      <c r="E126" s="1386">
        <v>1.027563660965396</v>
      </c>
      <c r="F126" s="1386">
        <v>4.5066317730343437</v>
      </c>
      <c r="K126" s="1466">
        <v>42183</v>
      </c>
      <c r="L126" s="1467"/>
      <c r="M126" s="1468">
        <v>0</v>
      </c>
      <c r="N126" s="1469">
        <v>1.0399978390919691</v>
      </c>
      <c r="O126" s="1469">
        <v>1.0399978390919691</v>
      </c>
    </row>
    <row r="127" spans="2:15">
      <c r="B127" s="1385">
        <v>36281</v>
      </c>
      <c r="C127" s="1386">
        <v>159.99600000000001</v>
      </c>
      <c r="D127" s="1386">
        <v>1513.08</v>
      </c>
      <c r="E127" s="1386">
        <v>1.0201883000304468</v>
      </c>
      <c r="F127" s="1386">
        <v>4.5976130073951058</v>
      </c>
      <c r="K127" s="1466">
        <v>42184</v>
      </c>
      <c r="L127" s="1467" t="s">
        <v>2127</v>
      </c>
      <c r="M127" s="1468">
        <v>5.0788E-2</v>
      </c>
      <c r="N127" s="1469">
        <v>1.0405260331944872</v>
      </c>
      <c r="O127" s="1469">
        <v>1.0405260331944872</v>
      </c>
    </row>
    <row r="128" spans="2:15">
      <c r="B128" s="1385">
        <v>36312</v>
      </c>
      <c r="C128" s="1386">
        <v>160.57300000000001</v>
      </c>
      <c r="D128" s="1386">
        <v>1515.95</v>
      </c>
      <c r="E128" s="1386">
        <v>1.0175637707499077</v>
      </c>
      <c r="F128" s="1386">
        <v>4.6783644282537873</v>
      </c>
      <c r="K128" s="1466">
        <v>42185</v>
      </c>
      <c r="L128" s="1467" t="s">
        <v>2127</v>
      </c>
      <c r="M128" s="1468">
        <v>5.0788E-2</v>
      </c>
      <c r="N128" s="1469">
        <v>1.041054495556226</v>
      </c>
      <c r="O128" s="1469">
        <v>1.041054495556226</v>
      </c>
    </row>
    <row r="129" spans="2:15">
      <c r="B129" s="1385">
        <v>36342</v>
      </c>
      <c r="C129" s="1386">
        <v>163.06</v>
      </c>
      <c r="D129" s="1386">
        <v>1532.47</v>
      </c>
      <c r="E129" s="1386">
        <v>1.0165876375704719</v>
      </c>
      <c r="F129" s="1386">
        <v>4.7559674418122491</v>
      </c>
      <c r="K129" s="1466">
        <v>42186</v>
      </c>
      <c r="L129" s="1467" t="s">
        <v>2127</v>
      </c>
      <c r="M129" s="1468">
        <v>5.0788E-2</v>
      </c>
      <c r="N129" s="1469">
        <v>1.041583226313429</v>
      </c>
      <c r="O129" s="1469">
        <v>1.041583226313429</v>
      </c>
    </row>
    <row r="130" spans="2:15">
      <c r="B130" s="1385">
        <v>36373</v>
      </c>
      <c r="C130" s="1386">
        <v>165.60300000000001</v>
      </c>
      <c r="D130" s="1386">
        <v>1541.05</v>
      </c>
      <c r="E130" s="1386">
        <v>1.0156847483880824</v>
      </c>
      <c r="F130" s="1386">
        <v>4.8305635944789866</v>
      </c>
      <c r="K130" s="1466">
        <v>42187</v>
      </c>
      <c r="L130" s="1467" t="s">
        <v>2127</v>
      </c>
      <c r="M130" s="1468">
        <v>5.0788E-2</v>
      </c>
      <c r="N130" s="1469">
        <v>1.0421122256024091</v>
      </c>
      <c r="O130" s="1469">
        <v>1.0421122256024091</v>
      </c>
    </row>
    <row r="131" spans="2:15">
      <c r="B131" s="1385">
        <v>36404</v>
      </c>
      <c r="C131" s="1386">
        <v>167.99700000000001</v>
      </c>
      <c r="D131" s="1386">
        <v>1545.83</v>
      </c>
      <c r="E131" s="1386">
        <v>1.0155901672784533</v>
      </c>
      <c r="F131" s="1386">
        <v>4.9058728889661207</v>
      </c>
      <c r="K131" s="1466">
        <v>42188</v>
      </c>
      <c r="L131" s="1467" t="s">
        <v>2127</v>
      </c>
      <c r="M131" s="1468">
        <v>5.0788E-2</v>
      </c>
      <c r="N131" s="1469">
        <v>1.042641493559548</v>
      </c>
      <c r="O131" s="1469">
        <v>1.042641493559548</v>
      </c>
    </row>
    <row r="132" spans="2:15">
      <c r="B132" s="1385">
        <v>36434</v>
      </c>
      <c r="C132" s="1386">
        <v>170.86099999999999</v>
      </c>
      <c r="D132" s="1386">
        <v>1564.23</v>
      </c>
      <c r="E132" s="1386">
        <v>1.0145370189540868</v>
      </c>
      <c r="F132" s="1386">
        <v>4.9771896561393616</v>
      </c>
      <c r="K132" s="1466">
        <v>42189</v>
      </c>
      <c r="L132" s="1467"/>
      <c r="M132" s="1468">
        <v>0</v>
      </c>
      <c r="N132" s="1469">
        <v>1.042641493559548</v>
      </c>
      <c r="O132" s="1469">
        <v>1.042641493559548</v>
      </c>
    </row>
    <row r="133" spans="2:15">
      <c r="B133" s="1385">
        <v>36465</v>
      </c>
      <c r="C133" s="1386">
        <v>174.93899999999999</v>
      </c>
      <c r="D133" s="1386">
        <v>1579.09</v>
      </c>
      <c r="E133" s="1386">
        <v>1.0152599173733607</v>
      </c>
      <c r="F133" s="1386">
        <v>5.0531411590435944</v>
      </c>
      <c r="K133" s="1466">
        <v>42190</v>
      </c>
      <c r="L133" s="1467"/>
      <c r="M133" s="1468">
        <v>0</v>
      </c>
      <c r="N133" s="1469">
        <v>1.042641493559548</v>
      </c>
      <c r="O133" s="1469">
        <v>1.042641493559548</v>
      </c>
    </row>
    <row r="134" spans="2:15">
      <c r="B134" s="1385">
        <v>36495</v>
      </c>
      <c r="C134" s="1386">
        <v>178.09899999999999</v>
      </c>
      <c r="D134" s="1386">
        <v>1588.56</v>
      </c>
      <c r="E134" s="1386">
        <v>1.0159962861507461</v>
      </c>
      <c r="F134" s="1386">
        <v>5.1339726509837682</v>
      </c>
      <c r="K134" s="1466">
        <v>42191</v>
      </c>
      <c r="L134" s="1467" t="s">
        <v>2127</v>
      </c>
      <c r="M134" s="1468">
        <v>5.0788E-2</v>
      </c>
      <c r="N134" s="1469">
        <v>1.0431710303212971</v>
      </c>
      <c r="O134" s="1469">
        <v>1.0431710303212971</v>
      </c>
    </row>
    <row r="135" spans="2:15">
      <c r="B135" s="1385">
        <v>36526</v>
      </c>
      <c r="C135" s="1386">
        <v>180.30099999999999</v>
      </c>
      <c r="D135" s="1386">
        <v>1598.41</v>
      </c>
      <c r="E135" s="1386">
        <v>1.0145573263269665</v>
      </c>
      <c r="F135" s="1386">
        <v>5.20870956621786</v>
      </c>
      <c r="K135" s="1466">
        <v>42192</v>
      </c>
      <c r="L135" s="1467" t="s">
        <v>2127</v>
      </c>
      <c r="M135" s="1468">
        <v>5.0788E-2</v>
      </c>
      <c r="N135" s="1469">
        <v>1.0437008360241766</v>
      </c>
      <c r="O135" s="1469">
        <v>1.0437008360241766</v>
      </c>
    </row>
    <row r="136" spans="2:15">
      <c r="B136" s="1385">
        <v>36557</v>
      </c>
      <c r="C136" s="1386">
        <v>180.935</v>
      </c>
      <c r="D136" s="1386">
        <v>1600.49</v>
      </c>
      <c r="E136" s="1386">
        <v>1.0145089461247463</v>
      </c>
      <c r="F136" s="1386">
        <v>5.2842824526935654</v>
      </c>
      <c r="K136" s="1466">
        <v>42193</v>
      </c>
      <c r="L136" s="1467" t="s">
        <v>2127</v>
      </c>
      <c r="M136" s="1468">
        <v>5.0788E-2</v>
      </c>
      <c r="N136" s="1469">
        <v>1.0442309108047767</v>
      </c>
      <c r="O136" s="1469">
        <v>1.0442309108047767</v>
      </c>
    </row>
    <row r="137" spans="2:15">
      <c r="B137" s="1385">
        <v>36586</v>
      </c>
      <c r="C137" s="1386">
        <v>181.214</v>
      </c>
      <c r="D137" s="1386">
        <v>1604.01</v>
      </c>
      <c r="E137" s="1386">
        <v>1.0158860407835757</v>
      </c>
      <c r="F137" s="1386">
        <v>5.3682287792489891</v>
      </c>
      <c r="K137" s="1466">
        <v>42194</v>
      </c>
      <c r="L137" s="1467" t="s">
        <v>2127</v>
      </c>
      <c r="M137" s="1468">
        <v>5.0788E-2</v>
      </c>
      <c r="N137" s="1469">
        <v>1.0447612547997562</v>
      </c>
      <c r="O137" s="1469">
        <v>1.0447612547997562</v>
      </c>
    </row>
    <row r="138" spans="2:15">
      <c r="B138" s="1385">
        <v>36617</v>
      </c>
      <c r="C138" s="1386">
        <v>181.63499999999999</v>
      </c>
      <c r="D138" s="1386">
        <v>1610.75</v>
      </c>
      <c r="E138" s="1386">
        <v>1.0136441914221253</v>
      </c>
      <c r="F138" s="1386">
        <v>5.4414739203108242</v>
      </c>
      <c r="K138" s="1466">
        <v>42195</v>
      </c>
      <c r="L138" s="1467" t="s">
        <v>2127</v>
      </c>
      <c r="M138" s="1468">
        <v>5.0788E-2</v>
      </c>
      <c r="N138" s="1469">
        <v>1.0452918681458438</v>
      </c>
      <c r="O138" s="1469">
        <v>1.0452918681458438</v>
      </c>
    </row>
    <row r="139" spans="2:15">
      <c r="B139" s="1385">
        <v>36647</v>
      </c>
      <c r="C139" s="1386">
        <v>182.18899999999999</v>
      </c>
      <c r="D139" s="1386">
        <v>1610.91</v>
      </c>
      <c r="E139" s="1386">
        <v>1.0156265899953318</v>
      </c>
      <c r="F139" s="1386">
        <v>5.5265056022338124</v>
      </c>
      <c r="K139" s="1466">
        <v>42196</v>
      </c>
      <c r="L139" s="1467"/>
      <c r="M139" s="1468">
        <v>0</v>
      </c>
      <c r="N139" s="1469">
        <v>1.0452918681458438</v>
      </c>
      <c r="O139" s="1469">
        <v>1.0452918681458438</v>
      </c>
    </row>
    <row r="140" spans="2:15">
      <c r="B140" s="1385">
        <v>36678</v>
      </c>
      <c r="C140" s="1386">
        <v>183.745</v>
      </c>
      <c r="D140" s="1386">
        <v>1614.62</v>
      </c>
      <c r="E140" s="1386">
        <v>1.0145668910909638</v>
      </c>
      <c r="F140" s="1386">
        <v>5.6070096074551534</v>
      </c>
      <c r="K140" s="1466">
        <v>42197</v>
      </c>
      <c r="L140" s="1467"/>
      <c r="M140" s="1468">
        <v>0</v>
      </c>
      <c r="N140" s="1469">
        <v>1.0452918681458438</v>
      </c>
      <c r="O140" s="1469">
        <v>1.0452918681458438</v>
      </c>
    </row>
    <row r="141" spans="2:15">
      <c r="B141" s="1385">
        <v>36708</v>
      </c>
      <c r="C141" s="1386">
        <v>186.63399999999999</v>
      </c>
      <c r="D141" s="1386">
        <v>1640.62</v>
      </c>
      <c r="E141" s="1386">
        <v>1.0130599958288005</v>
      </c>
      <c r="F141" s="1386">
        <v>5.6802371295405623</v>
      </c>
      <c r="K141" s="1466">
        <v>42198</v>
      </c>
      <c r="L141" s="1467" t="s">
        <v>2127</v>
      </c>
      <c r="M141" s="1468">
        <v>5.0788E-2</v>
      </c>
      <c r="N141" s="1469">
        <v>1.0458227509798377</v>
      </c>
      <c r="O141" s="1469">
        <v>1.0458227509798377</v>
      </c>
    </row>
    <row r="142" spans="2:15">
      <c r="B142" s="1385">
        <v>36739</v>
      </c>
      <c r="C142" s="1386">
        <v>191.08699999999999</v>
      </c>
      <c r="D142" s="1386">
        <v>1662.11</v>
      </c>
      <c r="E142" s="1386">
        <v>1.0140543715890855</v>
      </c>
      <c r="F142" s="1386">
        <v>5.7600692928732462</v>
      </c>
      <c r="K142" s="1466">
        <v>42199</v>
      </c>
      <c r="L142" s="1467" t="s">
        <v>2127</v>
      </c>
      <c r="M142" s="1468">
        <v>5.0788E-2</v>
      </c>
      <c r="N142" s="1469">
        <v>1.0463539034386053</v>
      </c>
      <c r="O142" s="1469">
        <v>1.0463539034386053</v>
      </c>
    </row>
    <row r="143" spans="2:15">
      <c r="B143" s="1385">
        <v>36770</v>
      </c>
      <c r="C143" s="1386">
        <v>193.297</v>
      </c>
      <c r="D143" s="1386">
        <v>1665.93</v>
      </c>
      <c r="E143" s="1386">
        <v>1.0128508890656427</v>
      </c>
      <c r="F143" s="1386">
        <v>5.8340913043663756</v>
      </c>
      <c r="K143" s="1466">
        <v>42200</v>
      </c>
      <c r="L143" s="1467" t="s">
        <v>2127</v>
      </c>
      <c r="M143" s="1468">
        <v>5.0788E-2</v>
      </c>
      <c r="N143" s="1469">
        <v>1.0468853256590838</v>
      </c>
      <c r="O143" s="1469">
        <v>1.0468853256590838</v>
      </c>
    </row>
    <row r="144" spans="2:15">
      <c r="B144" s="1385">
        <v>36800</v>
      </c>
      <c r="C144" s="1386">
        <v>194.04</v>
      </c>
      <c r="D144" s="1386">
        <v>1668.26</v>
      </c>
      <c r="E144" s="1386">
        <v>1.013495295624836</v>
      </c>
      <c r="F144" s="1386">
        <v>5.9128240912210845</v>
      </c>
      <c r="K144" s="1466">
        <v>42201</v>
      </c>
      <c r="L144" s="1467" t="s">
        <v>2127</v>
      </c>
      <c r="M144" s="1468">
        <v>5.0788E-2</v>
      </c>
      <c r="N144" s="1469">
        <v>1.0474170177782796</v>
      </c>
      <c r="O144" s="1469">
        <v>1.0474170177782796</v>
      </c>
    </row>
    <row r="145" spans="2:15">
      <c r="B145" s="1385">
        <v>36831</v>
      </c>
      <c r="C145" s="1386">
        <v>194.59899999999999</v>
      </c>
      <c r="D145" s="1386">
        <v>1673.6</v>
      </c>
      <c r="E145" s="1386">
        <v>1.013431060777086</v>
      </c>
      <c r="F145" s="1386">
        <v>5.992239590954493</v>
      </c>
      <c r="K145" s="1466">
        <v>42202</v>
      </c>
      <c r="L145" s="1467" t="s">
        <v>2127</v>
      </c>
      <c r="M145" s="1468">
        <v>5.0788E-2</v>
      </c>
      <c r="N145" s="1469">
        <v>1.0479489799332689</v>
      </c>
      <c r="O145" s="1469">
        <v>1.0479489799332689</v>
      </c>
    </row>
    <row r="146" spans="2:15">
      <c r="B146" s="1385">
        <v>36861</v>
      </c>
      <c r="C146" s="1386">
        <v>195.827</v>
      </c>
      <c r="D146" s="1386">
        <v>1683.47</v>
      </c>
      <c r="E146" s="1386">
        <v>1.0125716392096709</v>
      </c>
      <c r="F146" s="1386">
        <v>6.0675718651498789</v>
      </c>
      <c r="K146" s="1466">
        <v>42203</v>
      </c>
      <c r="L146" s="1467"/>
      <c r="M146" s="1468">
        <v>0</v>
      </c>
      <c r="N146" s="1469">
        <v>1.0479489799332689</v>
      </c>
      <c r="O146" s="1469">
        <v>1.0479489799332689</v>
      </c>
    </row>
    <row r="147" spans="2:15">
      <c r="B147" s="1385">
        <v>36892</v>
      </c>
      <c r="C147" s="1386">
        <v>197.04499999999999</v>
      </c>
      <c r="D147" s="1386">
        <v>1693.07</v>
      </c>
      <c r="E147" s="1386">
        <v>1.0126506879847863</v>
      </c>
      <c r="F147" s="1386">
        <v>6.144330823641158</v>
      </c>
      <c r="K147" s="1466">
        <v>42204</v>
      </c>
      <c r="L147" s="1467"/>
      <c r="M147" s="1468">
        <v>0</v>
      </c>
      <c r="N147" s="1469">
        <v>1.0479489799332689</v>
      </c>
      <c r="O147" s="1469">
        <v>1.0479489799332689</v>
      </c>
    </row>
    <row r="148" spans="2:15">
      <c r="B148" s="1385">
        <v>36923</v>
      </c>
      <c r="C148" s="1386">
        <v>197.49100000000001</v>
      </c>
      <c r="D148" s="1386">
        <v>1700.86</v>
      </c>
      <c r="E148" s="1386">
        <v>1.0101583510827936</v>
      </c>
      <c r="F148" s="1386">
        <v>6.206747093316535</v>
      </c>
      <c r="K148" s="1466">
        <v>42205</v>
      </c>
      <c r="L148" s="1467" t="s">
        <v>2127</v>
      </c>
      <c r="M148" s="1468">
        <v>5.0788E-2</v>
      </c>
      <c r="N148" s="1469">
        <v>1.0484812122611973</v>
      </c>
      <c r="O148" s="1469">
        <v>1.0484812122611973</v>
      </c>
    </row>
    <row r="149" spans="2:15">
      <c r="B149" s="1385">
        <v>36951</v>
      </c>
      <c r="C149" s="1386">
        <v>198.60599999999999</v>
      </c>
      <c r="D149" s="1386">
        <v>1707.32</v>
      </c>
      <c r="E149" s="1386">
        <v>1.0125785495836725</v>
      </c>
      <c r="F149" s="1386">
        <v>6.2848189693831324</v>
      </c>
      <c r="K149" s="1466">
        <v>42206</v>
      </c>
      <c r="L149" s="1467" t="s">
        <v>2127</v>
      </c>
      <c r="M149" s="1468">
        <v>5.0788E-2</v>
      </c>
      <c r="N149" s="1469">
        <v>1.0490137148992804</v>
      </c>
      <c r="O149" s="1469">
        <v>1.0490137148992804</v>
      </c>
    </row>
    <row r="150" spans="2:15">
      <c r="B150" s="1385">
        <v>36982</v>
      </c>
      <c r="C150" s="1386">
        <v>200.59100000000001</v>
      </c>
      <c r="D150" s="1386">
        <v>1717.22</v>
      </c>
      <c r="E150" s="1386">
        <v>1.0118637336714187</v>
      </c>
      <c r="F150" s="1386">
        <v>6.3593803878089741</v>
      </c>
      <c r="K150" s="1466">
        <v>42207</v>
      </c>
      <c r="L150" s="1467" t="s">
        <v>2127</v>
      </c>
      <c r="M150" s="1468">
        <v>5.0788E-2</v>
      </c>
      <c r="N150" s="1469">
        <v>1.0495464879848035</v>
      </c>
      <c r="O150" s="1469">
        <v>1.0495464879848035</v>
      </c>
    </row>
    <row r="151" spans="2:15">
      <c r="B151" s="1385">
        <v>37012</v>
      </c>
      <c r="C151" s="1386">
        <v>202.32400000000001</v>
      </c>
      <c r="D151" s="1386">
        <v>1724.26</v>
      </c>
      <c r="E151" s="1386">
        <v>1.0133677002760824</v>
      </c>
      <c r="F151" s="1386">
        <v>6.4443906787748011</v>
      </c>
      <c r="K151" s="1466">
        <v>42208</v>
      </c>
      <c r="L151" s="1467" t="s">
        <v>2127</v>
      </c>
      <c r="M151" s="1468">
        <v>5.0788E-2</v>
      </c>
      <c r="N151" s="1469">
        <v>1.0500795316551212</v>
      </c>
      <c r="O151" s="1469">
        <v>1.0500795316551212</v>
      </c>
    </row>
    <row r="152" spans="2:15">
      <c r="B152" s="1385">
        <v>37043</v>
      </c>
      <c r="C152" s="1386">
        <v>204.31</v>
      </c>
      <c r="D152" s="1386">
        <v>1733.23</v>
      </c>
      <c r="E152" s="1386">
        <v>1.0127331554566117</v>
      </c>
      <c r="F152" s="1386">
        <v>6.5264481071107801</v>
      </c>
      <c r="K152" s="1466">
        <v>42209</v>
      </c>
      <c r="L152" s="1467" t="s">
        <v>2127</v>
      </c>
      <c r="M152" s="1468">
        <v>5.0788E-2</v>
      </c>
      <c r="N152" s="1469">
        <v>1.0506128460476583</v>
      </c>
      <c r="O152" s="1469">
        <v>1.0506128460476583</v>
      </c>
    </row>
    <row r="153" spans="2:15">
      <c r="B153" s="1385">
        <v>37073</v>
      </c>
      <c r="C153" s="1386">
        <v>207.34100000000001</v>
      </c>
      <c r="D153" s="1386">
        <v>1756.28</v>
      </c>
      <c r="E153" s="1386">
        <v>1.014979822756394</v>
      </c>
      <c r="F153" s="1386">
        <v>6.6242131429841029</v>
      </c>
      <c r="K153" s="1466">
        <v>42210</v>
      </c>
      <c r="L153" s="1467"/>
      <c r="M153" s="1468">
        <v>0</v>
      </c>
      <c r="N153" s="1469">
        <v>1.0506128460476583</v>
      </c>
      <c r="O153" s="1469">
        <v>1.0506128460476583</v>
      </c>
    </row>
    <row r="154" spans="2:15">
      <c r="B154" s="1385">
        <v>37104</v>
      </c>
      <c r="C154" s="1386">
        <v>210.21100000000001</v>
      </c>
      <c r="D154" s="1386">
        <v>1768.57</v>
      </c>
      <c r="E154" s="1386">
        <v>1.0160000122718875</v>
      </c>
      <c r="F154" s="1386">
        <v>6.7302006345634471</v>
      </c>
      <c r="K154" s="1466">
        <v>42211</v>
      </c>
      <c r="L154" s="1467"/>
      <c r="M154" s="1468">
        <v>0</v>
      </c>
      <c r="N154" s="1469">
        <v>1.0506128460476583</v>
      </c>
      <c r="O154" s="1469">
        <v>1.0506128460476583</v>
      </c>
    </row>
    <row r="155" spans="2:15">
      <c r="B155" s="1385">
        <v>37135</v>
      </c>
      <c r="C155" s="1386">
        <v>210.85300000000001</v>
      </c>
      <c r="D155" s="1386">
        <v>1773.52</v>
      </c>
      <c r="E155" s="1386">
        <v>1.013243107438228</v>
      </c>
      <c r="F155" s="1386">
        <v>6.8193294046478012</v>
      </c>
      <c r="K155" s="1466">
        <v>42212</v>
      </c>
      <c r="L155" s="1467" t="s">
        <v>2127</v>
      </c>
      <c r="M155" s="1468">
        <v>5.0788E-2</v>
      </c>
      <c r="N155" s="1469">
        <v>1.051146431299909</v>
      </c>
      <c r="O155" s="1469">
        <v>1.051146431299909</v>
      </c>
    </row>
    <row r="156" spans="2:15">
      <c r="B156" s="1385">
        <v>37165</v>
      </c>
      <c r="C156" s="1386">
        <v>213.339</v>
      </c>
      <c r="D156" s="1386">
        <v>1788.24</v>
      </c>
      <c r="E156" s="1386">
        <v>1.0153493751182632</v>
      </c>
      <c r="F156" s="1386">
        <v>6.9240018497347426</v>
      </c>
      <c r="K156" s="1466">
        <v>42213</v>
      </c>
      <c r="L156" s="1467" t="s">
        <v>2127</v>
      </c>
      <c r="M156" s="1468">
        <v>5.0788E-2</v>
      </c>
      <c r="N156" s="1469">
        <v>1.0516802875494375</v>
      </c>
      <c r="O156" s="1469">
        <v>1.0516802875494375</v>
      </c>
    </row>
    <row r="157" spans="2:15">
      <c r="B157" s="1385">
        <v>37196</v>
      </c>
      <c r="C157" s="1386">
        <v>215.685</v>
      </c>
      <c r="D157" s="1386">
        <v>1800.94</v>
      </c>
      <c r="E157" s="1386">
        <v>1.0139343824698488</v>
      </c>
      <c r="F157" s="1386">
        <v>7.0204835397308871</v>
      </c>
      <c r="K157" s="1466">
        <v>42214</v>
      </c>
      <c r="L157" s="1467" t="s">
        <v>2127</v>
      </c>
      <c r="M157" s="1468">
        <v>5.0788E-2</v>
      </c>
      <c r="N157" s="1469">
        <v>1.0522144149338781</v>
      </c>
      <c r="O157" s="1469">
        <v>1.0522144149338781</v>
      </c>
    </row>
    <row r="158" spans="2:15">
      <c r="B158" s="1385">
        <v>37226</v>
      </c>
      <c r="C158" s="1386">
        <v>216.16300000000001</v>
      </c>
      <c r="D158" s="1386">
        <v>1812.65</v>
      </c>
      <c r="E158" s="1386">
        <v>1.0139354159682339</v>
      </c>
      <c r="F158" s="1386">
        <v>7.1183168981551761</v>
      </c>
      <c r="K158" s="1466">
        <v>42215</v>
      </c>
      <c r="L158" s="1467" t="s">
        <v>2127</v>
      </c>
      <c r="M158" s="1468">
        <v>5.2531000000000001E-2</v>
      </c>
      <c r="N158" s="1469">
        <v>1.0527671536881871</v>
      </c>
      <c r="O158" s="1469">
        <v>1.0527671536881871</v>
      </c>
    </row>
    <row r="159" spans="2:15">
      <c r="B159" s="1385">
        <v>37257</v>
      </c>
      <c r="C159" s="1386">
        <v>216.94399999999999</v>
      </c>
      <c r="D159" s="1386">
        <v>1822.08</v>
      </c>
      <c r="E159" s="1386">
        <v>1.0153395939759675</v>
      </c>
      <c r="F159" s="1386">
        <v>7.2275089891651447</v>
      </c>
      <c r="K159" s="1466">
        <v>42216</v>
      </c>
      <c r="L159" s="1467" t="s">
        <v>2127</v>
      </c>
      <c r="M159" s="1468">
        <v>5.2531000000000001E-2</v>
      </c>
      <c r="N159" s="1469">
        <v>1.0533201828016909</v>
      </c>
      <c r="O159" s="1469">
        <v>1.0533201828016909</v>
      </c>
    </row>
    <row r="160" spans="2:15">
      <c r="B160" s="1385">
        <v>37288</v>
      </c>
      <c r="C160" s="1386">
        <v>217.07400000000001</v>
      </c>
      <c r="D160" s="1386">
        <v>1828.64</v>
      </c>
      <c r="E160" s="1386">
        <v>1.012482154231837</v>
      </c>
      <c r="F160" s="1386">
        <v>7.3177238710798918</v>
      </c>
      <c r="K160" s="1466">
        <v>42217</v>
      </c>
      <c r="L160" s="1467"/>
      <c r="M160" s="1468">
        <v>0</v>
      </c>
      <c r="N160" s="1469">
        <v>1.0533201828016909</v>
      </c>
      <c r="O160" s="1469">
        <v>1.0533201828016909</v>
      </c>
    </row>
    <row r="161" spans="2:15">
      <c r="B161" s="1385">
        <v>37316</v>
      </c>
      <c r="C161" s="1386">
        <v>217.27600000000001</v>
      </c>
      <c r="D161" s="1386">
        <v>1839.61</v>
      </c>
      <c r="E161" s="1386">
        <v>1.013713327882185</v>
      </c>
      <c r="F161" s="1386">
        <v>7.4180742178753025</v>
      </c>
      <c r="K161" s="1466">
        <v>42218</v>
      </c>
      <c r="L161" s="1467"/>
      <c r="M161" s="1468">
        <v>0</v>
      </c>
      <c r="N161" s="1469">
        <v>1.0533201828016909</v>
      </c>
      <c r="O161" s="1469">
        <v>1.0533201828016909</v>
      </c>
    </row>
    <row r="162" spans="2:15">
      <c r="B162" s="1385">
        <v>37347</v>
      </c>
      <c r="C162" s="1386">
        <v>218.48599999999999</v>
      </c>
      <c r="D162" s="1386">
        <v>1854.33</v>
      </c>
      <c r="E162" s="1386">
        <v>1.0148356719718208</v>
      </c>
      <c r="F162" s="1386">
        <v>7.5281263336343214</v>
      </c>
      <c r="K162" s="1466">
        <v>42219</v>
      </c>
      <c r="L162" s="1467" t="s">
        <v>2127</v>
      </c>
      <c r="M162" s="1468">
        <v>5.2531000000000001E-2</v>
      </c>
      <c r="N162" s="1469">
        <v>1.0538735024269186</v>
      </c>
      <c r="O162" s="1469">
        <v>1.0538735024269186</v>
      </c>
    </row>
    <row r="163" spans="2:15">
      <c r="B163" s="1385">
        <v>37377</v>
      </c>
      <c r="C163" s="1386">
        <v>220.292</v>
      </c>
      <c r="D163" s="1386">
        <v>1858.22</v>
      </c>
      <c r="E163" s="1386">
        <v>1.0141498936566418</v>
      </c>
      <c r="F163" s="1386">
        <v>7.6346485206890113</v>
      </c>
      <c r="K163" s="1466">
        <v>42220</v>
      </c>
      <c r="L163" s="1467" t="s">
        <v>2127</v>
      </c>
      <c r="M163" s="1468">
        <v>5.2531000000000001E-2</v>
      </c>
      <c r="N163" s="1469">
        <v>1.0544271127164784</v>
      </c>
      <c r="O163" s="1469">
        <v>1.0544271127164784</v>
      </c>
    </row>
    <row r="164" spans="2:15">
      <c r="B164" s="1385">
        <v>37408</v>
      </c>
      <c r="C164" s="1386">
        <v>223.68799999999999</v>
      </c>
      <c r="D164" s="1386">
        <v>1866.02</v>
      </c>
      <c r="E164" s="1386">
        <v>1.0132903281280037</v>
      </c>
      <c r="F164" s="1386">
        <v>7.7361155046709458</v>
      </c>
      <c r="K164" s="1466">
        <v>42221</v>
      </c>
      <c r="L164" s="1467" t="s">
        <v>2127</v>
      </c>
      <c r="M164" s="1468">
        <v>5.2531000000000001E-2</v>
      </c>
      <c r="N164" s="1469">
        <v>1.0549810138230595</v>
      </c>
      <c r="O164" s="1469">
        <v>1.0549810138230595</v>
      </c>
    </row>
    <row r="165" spans="2:15">
      <c r="B165" s="1385">
        <v>37438</v>
      </c>
      <c r="C165" s="1386">
        <v>228.05699999999999</v>
      </c>
      <c r="D165" s="1386">
        <v>1888.23</v>
      </c>
      <c r="E165" s="1386">
        <v>1.0153543455443825</v>
      </c>
      <c r="F165" s="1386">
        <v>7.8548984953009189</v>
      </c>
      <c r="K165" s="1466">
        <v>42222</v>
      </c>
      <c r="L165" s="1467" t="s">
        <v>2127</v>
      </c>
      <c r="M165" s="1468">
        <v>5.2531000000000001E-2</v>
      </c>
      <c r="N165" s="1469">
        <v>1.055535205899431</v>
      </c>
      <c r="O165" s="1469">
        <v>1.055535205899431</v>
      </c>
    </row>
    <row r="166" spans="2:15">
      <c r="B166" s="1385">
        <v>37469</v>
      </c>
      <c r="C166" s="1386">
        <v>233.34800000000001</v>
      </c>
      <c r="D166" s="1386">
        <v>1900.5</v>
      </c>
      <c r="E166" s="1386">
        <v>1.0144340404848073</v>
      </c>
      <c r="F166" s="1386">
        <v>7.9682764181861447</v>
      </c>
      <c r="K166" s="1466">
        <v>42223</v>
      </c>
      <c r="L166" s="1467" t="s">
        <v>2127</v>
      </c>
      <c r="M166" s="1468">
        <v>5.2531000000000001E-2</v>
      </c>
      <c r="N166" s="1469">
        <v>1.0560896890984419</v>
      </c>
      <c r="O166" s="1469">
        <v>1.0560896890984419</v>
      </c>
    </row>
    <row r="167" spans="2:15">
      <c r="B167" s="1385">
        <v>37500</v>
      </c>
      <c r="C167" s="1386">
        <v>238.94300000000001</v>
      </c>
      <c r="D167" s="1386">
        <v>1914.18</v>
      </c>
      <c r="E167" s="1386">
        <v>1.0138126637754254</v>
      </c>
      <c r="F167" s="1386">
        <v>8.0783395412202008</v>
      </c>
      <c r="K167" s="1466">
        <v>42224</v>
      </c>
      <c r="L167" s="1467"/>
      <c r="M167" s="1468">
        <v>0</v>
      </c>
      <c r="N167" s="1469">
        <v>1.0560896890984419</v>
      </c>
      <c r="O167" s="1469">
        <v>1.0560896890984419</v>
      </c>
    </row>
    <row r="168" spans="2:15">
      <c r="B168" s="1385">
        <v>37530</v>
      </c>
      <c r="C168" s="1386">
        <v>248.19900000000001</v>
      </c>
      <c r="D168" s="1386">
        <v>1939.26</v>
      </c>
      <c r="E168" s="1386">
        <v>1.0164592520111337</v>
      </c>
      <c r="F168" s="1386">
        <v>8.2113029675606501</v>
      </c>
      <c r="K168" s="1466">
        <v>42225</v>
      </c>
      <c r="L168" s="1467"/>
      <c r="M168" s="1468">
        <v>0</v>
      </c>
      <c r="N168" s="1469">
        <v>1.0560896890984419</v>
      </c>
      <c r="O168" s="1469">
        <v>1.0560896890984419</v>
      </c>
    </row>
    <row r="169" spans="2:15">
      <c r="B169" s="1385">
        <v>37561</v>
      </c>
      <c r="C169" s="1386">
        <v>261.08</v>
      </c>
      <c r="D169" s="1386">
        <v>1997.83</v>
      </c>
      <c r="E169" s="1386">
        <v>1.0154093077816833</v>
      </c>
      <c r="F169" s="1386">
        <v>8.337833462276441</v>
      </c>
      <c r="K169" s="1466">
        <v>42226</v>
      </c>
      <c r="L169" s="1467" t="s">
        <v>2127</v>
      </c>
      <c r="M169" s="1468">
        <v>5.2531000000000001E-2</v>
      </c>
      <c r="N169" s="1469">
        <v>1.0566444635730223</v>
      </c>
      <c r="O169" s="1469">
        <v>1.0566444635730223</v>
      </c>
    </row>
    <row r="170" spans="2:15">
      <c r="B170" s="1385">
        <v>37591</v>
      </c>
      <c r="C170" s="1386">
        <v>270.86700000000002</v>
      </c>
      <c r="D170" s="1386">
        <v>2039.78</v>
      </c>
      <c r="E170" s="1386">
        <v>1.0174244857414556</v>
      </c>
      <c r="F170" s="1386">
        <v>8.483115922554509</v>
      </c>
      <c r="K170" s="1466">
        <v>42227</v>
      </c>
      <c r="L170" s="1467" t="s">
        <v>2127</v>
      </c>
      <c r="M170" s="1468">
        <v>5.2531000000000001E-2</v>
      </c>
      <c r="N170" s="1469">
        <v>1.0571995294761818</v>
      </c>
      <c r="O170" s="1469">
        <v>1.0571995294761818</v>
      </c>
    </row>
    <row r="171" spans="2:15">
      <c r="B171" s="1385">
        <v>37622</v>
      </c>
      <c r="C171" s="1386">
        <v>277.173</v>
      </c>
      <c r="D171" s="1386">
        <v>2085.6799999999998</v>
      </c>
      <c r="E171" s="1386">
        <v>1.0197126646415859</v>
      </c>
      <c r="F171" s="1386">
        <v>8.6503407418515241</v>
      </c>
      <c r="K171" s="1466">
        <v>42228</v>
      </c>
      <c r="L171" s="1467" t="s">
        <v>2127</v>
      </c>
      <c r="M171" s="1468">
        <v>5.2531000000000001E-2</v>
      </c>
      <c r="N171" s="1469">
        <v>1.0577548869610109</v>
      </c>
      <c r="O171" s="1469">
        <v>1.0577548869610109</v>
      </c>
    </row>
    <row r="172" spans="2:15">
      <c r="B172" s="1385">
        <v>37653</v>
      </c>
      <c r="C172" s="1386">
        <v>283.50599999999997</v>
      </c>
      <c r="D172" s="1386">
        <v>2118.4299999999998</v>
      </c>
      <c r="E172" s="1386">
        <v>1.0183037986307939</v>
      </c>
      <c r="F172" s="1386">
        <v>8.8086748368781276</v>
      </c>
      <c r="K172" s="1466">
        <v>42229</v>
      </c>
      <c r="L172" s="1467" t="s">
        <v>2127</v>
      </c>
      <c r="M172" s="1468">
        <v>5.2531000000000001E-2</v>
      </c>
      <c r="N172" s="1469">
        <v>1.0583105361806804</v>
      </c>
      <c r="O172" s="1469">
        <v>1.0583105361806804</v>
      </c>
    </row>
    <row r="173" spans="2:15">
      <c r="B173" s="1385">
        <v>37681</v>
      </c>
      <c r="C173" s="1386">
        <v>287.85500000000002</v>
      </c>
      <c r="D173" s="1386">
        <v>2144.4899999999998</v>
      </c>
      <c r="E173" s="1386">
        <v>1.0177701866474056</v>
      </c>
      <c r="F173" s="1386">
        <v>8.9652066328457565</v>
      </c>
      <c r="K173" s="1466">
        <v>42230</v>
      </c>
      <c r="L173" s="1467" t="s">
        <v>2127</v>
      </c>
      <c r="M173" s="1468">
        <v>5.2531000000000001E-2</v>
      </c>
      <c r="N173" s="1469">
        <v>1.0588664772884415</v>
      </c>
      <c r="O173" s="1469">
        <v>1.0588664772884415</v>
      </c>
    </row>
    <row r="174" spans="2:15">
      <c r="B174" s="1385">
        <v>37712</v>
      </c>
      <c r="C174" s="1386">
        <v>290.512</v>
      </c>
      <c r="D174" s="1386">
        <v>2165.29</v>
      </c>
      <c r="E174" s="1386">
        <v>1.0187159495984839</v>
      </c>
      <c r="F174" s="1386">
        <v>9.1329989883260918</v>
      </c>
      <c r="K174" s="1466">
        <v>42231</v>
      </c>
      <c r="L174" s="1467"/>
      <c r="M174" s="1468">
        <v>0</v>
      </c>
      <c r="N174" s="1469">
        <v>1.0588664772884415</v>
      </c>
      <c r="O174" s="1469">
        <v>1.0588664772884415</v>
      </c>
    </row>
    <row r="175" spans="2:15">
      <c r="B175" s="1385">
        <v>37742</v>
      </c>
      <c r="C175" s="1386">
        <v>289.74700000000001</v>
      </c>
      <c r="D175" s="1386">
        <v>2178.5</v>
      </c>
      <c r="E175" s="1386">
        <v>1.0196535248447016</v>
      </c>
      <c r="F175" s="1386">
        <v>9.312494610849793</v>
      </c>
      <c r="K175" s="1466">
        <v>42232</v>
      </c>
      <c r="L175" s="1467"/>
      <c r="M175" s="1468">
        <v>0</v>
      </c>
      <c r="N175" s="1469">
        <v>1.0588664772884415</v>
      </c>
      <c r="O175" s="1469">
        <v>1.0588664772884415</v>
      </c>
    </row>
    <row r="176" spans="2:15">
      <c r="B176" s="1385">
        <v>37773</v>
      </c>
      <c r="C176" s="1386">
        <v>286.84300000000002</v>
      </c>
      <c r="D176" s="1386">
        <v>2175.23</v>
      </c>
      <c r="E176" s="1386">
        <v>1.0185667947451373</v>
      </c>
      <c r="F176" s="1386">
        <v>9.4853977868546391</v>
      </c>
      <c r="K176" s="1466">
        <v>42233</v>
      </c>
      <c r="L176" s="1467" t="s">
        <v>2127</v>
      </c>
      <c r="M176" s="1468">
        <v>5.2531000000000001E-2</v>
      </c>
      <c r="N176" s="1469">
        <v>1.0594227104376259</v>
      </c>
      <c r="O176" s="1469">
        <v>1.0594227104376259</v>
      </c>
    </row>
    <row r="177" spans="2:15">
      <c r="B177" s="1385">
        <v>37803</v>
      </c>
      <c r="C177" s="1386">
        <v>285.649</v>
      </c>
      <c r="D177" s="1386">
        <v>2179.58</v>
      </c>
      <c r="E177" s="1386">
        <v>1.0208424747911398</v>
      </c>
      <c r="F177" s="1386">
        <v>9.6830969511110894</v>
      </c>
      <c r="K177" s="1466">
        <v>42234</v>
      </c>
      <c r="L177" s="1467" t="s">
        <v>2127</v>
      </c>
      <c r="M177" s="1468">
        <v>5.2531000000000001E-2</v>
      </c>
      <c r="N177" s="1469">
        <v>1.059979235781646</v>
      </c>
      <c r="O177" s="1469">
        <v>1.059979235781646</v>
      </c>
    </row>
    <row r="178" spans="2:15">
      <c r="B178" s="1385">
        <v>37834</v>
      </c>
      <c r="C178" s="1386">
        <v>286.73500000000001</v>
      </c>
      <c r="D178" s="1386">
        <v>2186.9899999999998</v>
      </c>
      <c r="E178" s="1386">
        <v>1.0177426111342931</v>
      </c>
      <c r="F178" s="1386">
        <v>9.8549003748903132</v>
      </c>
      <c r="K178" s="1466">
        <v>42235</v>
      </c>
      <c r="L178" s="1467" t="s">
        <v>2127</v>
      </c>
      <c r="M178" s="1468">
        <v>5.2531000000000001E-2</v>
      </c>
      <c r="N178" s="1469">
        <v>1.0605360534739945</v>
      </c>
      <c r="O178" s="1469">
        <v>1.0605360534739945</v>
      </c>
    </row>
    <row r="179" spans="2:15">
      <c r="B179" s="1385">
        <v>37865</v>
      </c>
      <c r="C179" s="1386">
        <v>290.12700000000001</v>
      </c>
      <c r="D179" s="1386">
        <v>2204.0500000000002</v>
      </c>
      <c r="E179" s="1386">
        <v>1.0167950902831471</v>
      </c>
      <c r="F179" s="1386">
        <v>10.020414316418016</v>
      </c>
      <c r="K179" s="1466">
        <v>42236</v>
      </c>
      <c r="L179" s="1467" t="s">
        <v>2127</v>
      </c>
      <c r="M179" s="1468">
        <v>5.2531000000000001E-2</v>
      </c>
      <c r="N179" s="1469">
        <v>1.061093163668245</v>
      </c>
      <c r="O179" s="1469">
        <v>1.061093163668245</v>
      </c>
    </row>
    <row r="180" spans="2:15">
      <c r="B180" s="1385">
        <v>37895</v>
      </c>
      <c r="C180" s="1386">
        <v>291.22899999999998</v>
      </c>
      <c r="D180" s="1386">
        <v>2210.44</v>
      </c>
      <c r="E180" s="1386">
        <v>1.0164205992977207</v>
      </c>
      <c r="F180" s="1386">
        <v>10.18495552470506</v>
      </c>
      <c r="K180" s="1466">
        <v>42237</v>
      </c>
      <c r="L180" s="1467" t="s">
        <v>2127</v>
      </c>
      <c r="M180" s="1468">
        <v>5.2531000000000001E-2</v>
      </c>
      <c r="N180" s="1469">
        <v>1.0616505665180516</v>
      </c>
      <c r="O180" s="1469">
        <v>1.0616505665180516</v>
      </c>
    </row>
    <row r="181" spans="2:15">
      <c r="B181" s="1385">
        <v>37926</v>
      </c>
      <c r="C181" s="1386">
        <v>292.65699999999998</v>
      </c>
      <c r="D181" s="1386">
        <v>2217.96</v>
      </c>
      <c r="E181" s="1386">
        <v>1.0134353138584866</v>
      </c>
      <c r="F181" s="1386">
        <v>10.3217935988142</v>
      </c>
      <c r="K181" s="1466">
        <v>42238</v>
      </c>
      <c r="L181" s="1467"/>
      <c r="M181" s="1468">
        <v>0</v>
      </c>
      <c r="N181" s="1469">
        <v>1.0616505665180516</v>
      </c>
      <c r="O181" s="1469">
        <v>1.0616505665180516</v>
      </c>
    </row>
    <row r="182" spans="2:15">
      <c r="B182" s="1385">
        <v>37956</v>
      </c>
      <c r="C182" s="1386">
        <v>294.45499999999998</v>
      </c>
      <c r="D182" s="1386">
        <v>2229.4899999999998</v>
      </c>
      <c r="E182" s="1386">
        <v>1.0137325047762002</v>
      </c>
      <c r="F182" s="1386">
        <v>10.463537678708869</v>
      </c>
      <c r="K182" s="1466">
        <v>42239</v>
      </c>
      <c r="L182" s="1467"/>
      <c r="M182" s="1468">
        <v>0</v>
      </c>
      <c r="N182" s="1469">
        <v>1.0616505665180516</v>
      </c>
      <c r="O182" s="1469">
        <v>1.0616505665180516</v>
      </c>
    </row>
    <row r="183" spans="2:15">
      <c r="B183" s="1385">
        <v>37987</v>
      </c>
      <c r="C183" s="1386">
        <v>297.03899999999999</v>
      </c>
      <c r="D183" s="1386">
        <v>2246.4299999999998</v>
      </c>
      <c r="E183" s="1386">
        <v>1.0126755135884871</v>
      </c>
      <c r="F183" s="1386">
        <v>10.59616839273899</v>
      </c>
      <c r="K183" s="1466">
        <v>42240</v>
      </c>
      <c r="L183" s="1467" t="s">
        <v>2127</v>
      </c>
      <c r="M183" s="1468">
        <v>5.2531000000000001E-2</v>
      </c>
      <c r="N183" s="1469">
        <v>1.0622082621771491</v>
      </c>
      <c r="O183" s="1469">
        <v>1.0622082621771491</v>
      </c>
    </row>
    <row r="184" spans="2:15">
      <c r="B184" s="1385">
        <v>38018</v>
      </c>
      <c r="C184" s="1386">
        <v>299.09699999999998</v>
      </c>
      <c r="D184" s="1386">
        <v>2260.13</v>
      </c>
      <c r="E184" s="1386">
        <v>1.0108439419169848</v>
      </c>
      <c r="F184" s="1386">
        <v>10.711072627332442</v>
      </c>
      <c r="K184" s="1466">
        <v>42241</v>
      </c>
      <c r="L184" s="1467" t="s">
        <v>2127</v>
      </c>
      <c r="M184" s="1468">
        <v>5.2531000000000001E-2</v>
      </c>
      <c r="N184" s="1469">
        <v>1.0627662507993534</v>
      </c>
      <c r="O184" s="1469">
        <v>1.0627662507993534</v>
      </c>
    </row>
    <row r="185" spans="2:15">
      <c r="B185" s="1385">
        <v>38047</v>
      </c>
      <c r="C185" s="1386">
        <v>302.48399999999998</v>
      </c>
      <c r="D185" s="1386">
        <v>2270.75</v>
      </c>
      <c r="E185" s="1386">
        <v>1.0137912342986635</v>
      </c>
      <c r="F185" s="1386">
        <v>10.858791539525985</v>
      </c>
      <c r="K185" s="1466">
        <v>42242</v>
      </c>
      <c r="L185" s="1467" t="s">
        <v>2127</v>
      </c>
      <c r="M185" s="1468">
        <v>5.2531000000000001E-2</v>
      </c>
      <c r="N185" s="1469">
        <v>1.0633245325385607</v>
      </c>
      <c r="O185" s="1469">
        <v>1.0633245325385607</v>
      </c>
    </row>
    <row r="186" spans="2:15">
      <c r="B186" s="1385">
        <v>38078</v>
      </c>
      <c r="C186" s="1386">
        <v>306.15100000000001</v>
      </c>
      <c r="D186" s="1386">
        <v>2279.15</v>
      </c>
      <c r="E186" s="1386">
        <v>1.011818501098614</v>
      </c>
      <c r="F186" s="1386">
        <v>10.987126179265493</v>
      </c>
      <c r="K186" s="1466">
        <v>42243</v>
      </c>
      <c r="L186" s="1467" t="s">
        <v>2127</v>
      </c>
      <c r="M186" s="1468">
        <v>5.2531000000000001E-2</v>
      </c>
      <c r="N186" s="1469">
        <v>1.0638831075487485</v>
      </c>
      <c r="O186" s="1469">
        <v>1.0638831075487485</v>
      </c>
    </row>
    <row r="187" spans="2:15">
      <c r="B187" s="1385">
        <v>38108</v>
      </c>
      <c r="C187" s="1386">
        <v>310.15199999999999</v>
      </c>
      <c r="D187" s="1386">
        <v>2290.77</v>
      </c>
      <c r="E187" s="1386">
        <v>1.0122780474663127</v>
      </c>
      <c r="F187" s="1386">
        <v>11.122026636012881</v>
      </c>
      <c r="K187" s="1466">
        <v>42244</v>
      </c>
      <c r="L187" s="1467" t="s">
        <v>2127</v>
      </c>
      <c r="M187" s="1468">
        <v>5.2531000000000001E-2</v>
      </c>
      <c r="N187" s="1469">
        <v>1.0644419759839749</v>
      </c>
      <c r="O187" s="1469">
        <v>1.0644419759839749</v>
      </c>
    </row>
    <row r="188" spans="2:15">
      <c r="B188" s="1385">
        <v>38139</v>
      </c>
      <c r="C188" s="1386">
        <v>314.41899999999998</v>
      </c>
      <c r="D188" s="1386">
        <v>2307.0300000000002</v>
      </c>
      <c r="E188" s="1386">
        <v>1.0122988884857291</v>
      </c>
      <c r="F188" s="1386">
        <v>11.258815201344513</v>
      </c>
      <c r="K188" s="1466">
        <v>42245</v>
      </c>
      <c r="L188" s="1467"/>
      <c r="M188" s="1468">
        <v>0</v>
      </c>
      <c r="N188" s="1469">
        <v>1.0644419759839749</v>
      </c>
      <c r="O188" s="1469">
        <v>1.0644419759839749</v>
      </c>
    </row>
    <row r="189" spans="2:15">
      <c r="B189" s="1385">
        <v>38169</v>
      </c>
      <c r="C189" s="1386">
        <v>318.53199999999998</v>
      </c>
      <c r="D189" s="1386">
        <v>2328.02</v>
      </c>
      <c r="E189" s="1386">
        <v>1.012868893920805</v>
      </c>
      <c r="F189" s="1386">
        <v>11.403703699844563</v>
      </c>
      <c r="K189" s="1466">
        <v>42246</v>
      </c>
      <c r="L189" s="1467"/>
      <c r="M189" s="1468">
        <v>0</v>
      </c>
      <c r="N189" s="1469">
        <v>1.0644419759839749</v>
      </c>
      <c r="O189" s="1469">
        <v>1.0644419759839749</v>
      </c>
    </row>
    <row r="190" spans="2:15">
      <c r="B190" s="1385">
        <v>38200</v>
      </c>
      <c r="C190" s="1386">
        <v>322.41199999999998</v>
      </c>
      <c r="D190" s="1386">
        <v>2344.08</v>
      </c>
      <c r="E190" s="1386">
        <v>1.0129358583775749</v>
      </c>
      <c r="F190" s="1386">
        <v>11.551220395885579</v>
      </c>
      <c r="K190" s="1466">
        <v>42247</v>
      </c>
      <c r="L190" s="1467" t="s">
        <v>2127</v>
      </c>
      <c r="M190" s="1468">
        <v>5.2531000000000001E-2</v>
      </c>
      <c r="N190" s="1469">
        <v>1.065001137998379</v>
      </c>
      <c r="O190" s="1469">
        <v>1.065001137998379</v>
      </c>
    </row>
    <row r="191" spans="2:15">
      <c r="B191" s="1385">
        <v>38231</v>
      </c>
      <c r="C191" s="1386">
        <v>324.65100000000001</v>
      </c>
      <c r="D191" s="1386">
        <v>2351.8200000000002</v>
      </c>
      <c r="E191" s="1386">
        <v>1.0125132709021758</v>
      </c>
      <c r="F191" s="1386">
        <v>11.695763945950034</v>
      </c>
      <c r="K191" s="1466">
        <v>42248</v>
      </c>
      <c r="L191" s="1467" t="s">
        <v>2127</v>
      </c>
      <c r="M191" s="1468">
        <v>5.2531000000000001E-2</v>
      </c>
      <c r="N191" s="1469">
        <v>1.065560593746181</v>
      </c>
      <c r="O191" s="1469">
        <v>1.065560593746181</v>
      </c>
    </row>
    <row r="192" spans="2:15">
      <c r="B192" s="1385">
        <v>38261</v>
      </c>
      <c r="C192" s="1386">
        <v>325.92500000000001</v>
      </c>
      <c r="D192" s="1386">
        <v>2362.17</v>
      </c>
      <c r="E192" s="1386">
        <v>1.0121322386789289</v>
      </c>
      <c r="F192" s="1386">
        <v>11.837659745674712</v>
      </c>
      <c r="K192" s="1466">
        <v>42249</v>
      </c>
      <c r="L192" s="1467" t="s">
        <v>2127</v>
      </c>
      <c r="M192" s="1468">
        <v>5.2531000000000001E-2</v>
      </c>
      <c r="N192" s="1469">
        <v>1.0661203433816817</v>
      </c>
      <c r="O192" s="1469">
        <v>1.0661203433816817</v>
      </c>
    </row>
    <row r="193" spans="2:15">
      <c r="B193" s="1385">
        <v>38292</v>
      </c>
      <c r="C193" s="1386">
        <v>328.58800000000002</v>
      </c>
      <c r="D193" s="1386">
        <v>2378.4699999999998</v>
      </c>
      <c r="E193" s="1386">
        <v>1.0125098562166484</v>
      </c>
      <c r="F193" s="1386">
        <v>11.985747167034708</v>
      </c>
      <c r="K193" s="1466">
        <v>42250</v>
      </c>
      <c r="L193" s="1467" t="s">
        <v>2127</v>
      </c>
      <c r="M193" s="1468">
        <v>5.2531000000000001E-2</v>
      </c>
      <c r="N193" s="1469">
        <v>1.0666803870592636</v>
      </c>
      <c r="O193" s="1469">
        <v>1.0666803870592636</v>
      </c>
    </row>
    <row r="194" spans="2:15">
      <c r="B194" s="1385">
        <v>38322</v>
      </c>
      <c r="C194" s="1386">
        <v>331.005</v>
      </c>
      <c r="D194" s="1386">
        <v>2398.92</v>
      </c>
      <c r="E194" s="1386">
        <v>1.0148282315457626</v>
      </c>
      <c r="F194" s="1386">
        <v>12.163474601276468</v>
      </c>
      <c r="K194" s="1466">
        <v>42251</v>
      </c>
      <c r="L194" s="1467" t="s">
        <v>2127</v>
      </c>
      <c r="M194" s="1468">
        <v>5.2531000000000001E-2</v>
      </c>
      <c r="N194" s="1469">
        <v>1.0672407249333897</v>
      </c>
      <c r="O194" s="1469">
        <v>1.0672407249333897</v>
      </c>
    </row>
    <row r="195" spans="2:15">
      <c r="B195" s="1385">
        <v>38353</v>
      </c>
      <c r="C195" s="1386">
        <v>332.298</v>
      </c>
      <c r="D195" s="1386">
        <v>2412.83</v>
      </c>
      <c r="E195" s="1386">
        <v>1.0138388229391033</v>
      </c>
      <c r="F195" s="1386">
        <v>12.331802772607814</v>
      </c>
      <c r="K195" s="1466">
        <v>42252</v>
      </c>
      <c r="L195" s="1467"/>
      <c r="M195" s="1468">
        <v>0</v>
      </c>
      <c r="N195" s="1469">
        <v>1.0672407249333897</v>
      </c>
      <c r="O195" s="1469">
        <v>1.0672407249333897</v>
      </c>
    </row>
    <row r="196" spans="2:15">
      <c r="B196" s="1385">
        <v>38384</v>
      </c>
      <c r="C196" s="1386">
        <v>333.28800000000001</v>
      </c>
      <c r="D196" s="1386">
        <v>2427.0700000000002</v>
      </c>
      <c r="E196" s="1386">
        <v>1.0121818576713373</v>
      </c>
      <c r="F196" s="1386">
        <v>12.482027038814724</v>
      </c>
      <c r="K196" s="1466">
        <v>42253</v>
      </c>
      <c r="L196" s="1467"/>
      <c r="M196" s="1468">
        <v>0</v>
      </c>
      <c r="N196" s="1469">
        <v>1.0672407249333897</v>
      </c>
      <c r="O196" s="1469">
        <v>1.0672407249333897</v>
      </c>
    </row>
    <row r="197" spans="2:15">
      <c r="B197" s="1385">
        <v>38412</v>
      </c>
      <c r="C197" s="1386">
        <v>336.12299999999999</v>
      </c>
      <c r="D197" s="1386">
        <v>2441.87</v>
      </c>
      <c r="E197" s="1386">
        <v>1.0152817807540921</v>
      </c>
      <c r="F197" s="1386">
        <v>12.672774639388541</v>
      </c>
      <c r="G197" s="67"/>
      <c r="K197" s="1466">
        <v>42254</v>
      </c>
      <c r="L197" s="1467"/>
      <c r="M197" s="1468">
        <v>0</v>
      </c>
      <c r="N197" s="1469">
        <v>1.0672407249333897</v>
      </c>
      <c r="O197" s="1469">
        <v>1.0672407249333897</v>
      </c>
    </row>
    <row r="198" spans="2:15">
      <c r="B198" s="1385">
        <v>38443</v>
      </c>
      <c r="C198" s="1386">
        <v>339.03</v>
      </c>
      <c r="D198" s="1386">
        <v>2463.11</v>
      </c>
      <c r="E198" s="1386">
        <v>1.0141152901477553</v>
      </c>
      <c r="F198" s="1386">
        <v>12.851654530400625</v>
      </c>
      <c r="K198" s="1466">
        <v>42255</v>
      </c>
      <c r="L198" s="1467" t="s">
        <v>2127</v>
      </c>
      <c r="M198" s="1468">
        <v>5.2531000000000001E-2</v>
      </c>
      <c r="N198" s="1469">
        <v>1.0678013571586045</v>
      </c>
      <c r="O198" s="1469">
        <v>1.0678013571586045</v>
      </c>
    </row>
    <row r="199" spans="2:15">
      <c r="B199" s="1385">
        <v>38473</v>
      </c>
      <c r="C199" s="1386">
        <v>338.29899999999998</v>
      </c>
      <c r="D199" s="1386">
        <v>2475.1799999999998</v>
      </c>
      <c r="E199" s="1386">
        <v>1.0150306502044895</v>
      </c>
      <c r="F199" s="1386">
        <v>13.044823254196018</v>
      </c>
      <c r="K199" s="1466">
        <v>42256</v>
      </c>
      <c r="L199" s="1467" t="s">
        <v>2127</v>
      </c>
      <c r="M199" s="1468">
        <v>5.2531000000000001E-2</v>
      </c>
      <c r="N199" s="1469">
        <v>1.0683622838895335</v>
      </c>
      <c r="O199" s="1469">
        <v>1.0683622838895335</v>
      </c>
    </row>
    <row r="200" spans="2:15">
      <c r="B200" s="1385">
        <v>38504</v>
      </c>
      <c r="C200" s="1386">
        <v>336.80099999999999</v>
      </c>
      <c r="D200" s="1386">
        <v>2474.6799999999998</v>
      </c>
      <c r="E200" s="1386">
        <v>1.0158560276185216</v>
      </c>
      <c r="F200" s="1386">
        <v>13.251662331993282</v>
      </c>
      <c r="K200" s="1466">
        <v>42257</v>
      </c>
      <c r="L200" s="1467" t="s">
        <v>2127</v>
      </c>
      <c r="M200" s="1468">
        <v>5.2531000000000001E-2</v>
      </c>
      <c r="N200" s="1469">
        <v>1.0689235052808834</v>
      </c>
      <c r="O200" s="1469">
        <v>1.0689235052808834</v>
      </c>
    </row>
    <row r="201" spans="2:15">
      <c r="B201" s="1385">
        <v>38534</v>
      </c>
      <c r="C201" s="1386">
        <v>335.66300000000001</v>
      </c>
      <c r="D201" s="1386">
        <v>2480.87</v>
      </c>
      <c r="E201" s="1386">
        <v>1.0151134516871545</v>
      </c>
      <c r="F201" s="1386">
        <v>13.451940690422347</v>
      </c>
      <c r="K201" s="1466">
        <v>42258</v>
      </c>
      <c r="L201" s="1467" t="s">
        <v>2127</v>
      </c>
      <c r="M201" s="1468">
        <v>5.2531000000000001E-2</v>
      </c>
      <c r="N201" s="1469">
        <v>1.0694850214874425</v>
      </c>
      <c r="O201" s="1469">
        <v>1.0694850214874425</v>
      </c>
    </row>
    <row r="202" spans="2:15">
      <c r="B202" s="1385">
        <v>38565</v>
      </c>
      <c r="C202" s="1386">
        <v>333.47399999999999</v>
      </c>
      <c r="D202" s="1386">
        <v>2485.09</v>
      </c>
      <c r="E202" s="1386">
        <v>1.0165848332092207</v>
      </c>
      <c r="F202" s="1386">
        <v>13.675038883113331</v>
      </c>
      <c r="K202" s="1466">
        <v>42259</v>
      </c>
      <c r="L202" s="1467"/>
      <c r="M202" s="1468">
        <v>0</v>
      </c>
      <c r="N202" s="1469">
        <v>1.0694850214874425</v>
      </c>
      <c r="O202" s="1469">
        <v>1.0694850214874425</v>
      </c>
    </row>
    <row r="203" spans="2:15">
      <c r="B203" s="1385">
        <v>38596</v>
      </c>
      <c r="C203" s="1386">
        <v>331.69</v>
      </c>
      <c r="D203" s="1386">
        <v>2493.79</v>
      </c>
      <c r="E203" s="1386">
        <v>1.0150313602253485</v>
      </c>
      <c r="F203" s="1386">
        <v>13.880593318661054</v>
      </c>
      <c r="K203" s="1466">
        <v>42260</v>
      </c>
      <c r="L203" s="1467"/>
      <c r="M203" s="1468">
        <v>0</v>
      </c>
      <c r="N203" s="1469">
        <v>1.0694850214874425</v>
      </c>
      <c r="O203" s="1469">
        <v>1.0694850214874425</v>
      </c>
    </row>
    <row r="204" spans="2:15">
      <c r="B204" s="1385">
        <v>38626</v>
      </c>
      <c r="C204" s="1386">
        <v>333.69400000000002</v>
      </c>
      <c r="D204" s="1386">
        <v>2512.4899999999998</v>
      </c>
      <c r="E204" s="1386">
        <v>1.0140716431638075</v>
      </c>
      <c r="F204" s="1386">
        <v>14.075916074743184</v>
      </c>
      <c r="K204" s="1466">
        <v>42261</v>
      </c>
      <c r="L204" s="1467" t="s">
        <v>2127</v>
      </c>
      <c r="M204" s="1468">
        <v>5.2531000000000001E-2</v>
      </c>
      <c r="N204" s="1469">
        <v>1.0700468326640802</v>
      </c>
      <c r="O204" s="1469">
        <v>1.0700468326640802</v>
      </c>
    </row>
    <row r="205" spans="2:15">
      <c r="B205" s="1385">
        <v>38657</v>
      </c>
      <c r="C205" s="1386">
        <v>335.03300000000002</v>
      </c>
      <c r="D205" s="1386">
        <v>2526.31</v>
      </c>
      <c r="E205" s="1386">
        <v>1.0138104099310956</v>
      </c>
      <c r="F205" s="1386">
        <v>14.270310245891086</v>
      </c>
      <c r="K205" s="1466">
        <v>42262</v>
      </c>
      <c r="L205" s="1467" t="s">
        <v>2127</v>
      </c>
      <c r="M205" s="1468">
        <v>5.2531000000000001E-2</v>
      </c>
      <c r="N205" s="1469">
        <v>1.0706089389657469</v>
      </c>
      <c r="O205" s="1469">
        <v>1.0706089389657469</v>
      </c>
    </row>
    <row r="206" spans="2:15">
      <c r="B206" s="1385">
        <v>38687</v>
      </c>
      <c r="C206" s="1386">
        <v>335.00599999999997</v>
      </c>
      <c r="D206" s="1386">
        <v>2535.4</v>
      </c>
      <c r="E206" s="1386">
        <v>1.0147357208231795</v>
      </c>
      <c r="F206" s="1386">
        <v>14.480593553734694</v>
      </c>
      <c r="K206" s="1466">
        <v>42263</v>
      </c>
      <c r="L206" s="1467" t="s">
        <v>2127</v>
      </c>
      <c r="M206" s="1468">
        <v>5.2531000000000001E-2</v>
      </c>
      <c r="N206" s="1469">
        <v>1.071171340547475</v>
      </c>
      <c r="O206" s="1469">
        <v>1.071171340547475</v>
      </c>
    </row>
    <row r="207" spans="2:15">
      <c r="B207" s="1385">
        <v>38718</v>
      </c>
      <c r="C207" s="1386">
        <v>338.08300000000003</v>
      </c>
      <c r="D207" s="1386">
        <v>2550.36</v>
      </c>
      <c r="E207" s="1386">
        <v>1.0142931741687891</v>
      </c>
      <c r="F207" s="1386">
        <v>14.687567199465668</v>
      </c>
      <c r="K207" s="1466">
        <v>42264</v>
      </c>
      <c r="L207" s="1467" t="s">
        <v>2127</v>
      </c>
      <c r="M207" s="1468">
        <v>5.2531000000000001E-2</v>
      </c>
      <c r="N207" s="1469">
        <v>1.071734037564378</v>
      </c>
      <c r="O207" s="1469">
        <v>1.071734037564378</v>
      </c>
    </row>
    <row r="208" spans="2:15">
      <c r="B208" s="1385">
        <v>38749</v>
      </c>
      <c r="C208" s="1386">
        <v>338.12799999999999</v>
      </c>
      <c r="D208" s="1386">
        <v>2560.8200000000002</v>
      </c>
      <c r="E208" s="1386">
        <v>1.0114506306443078</v>
      </c>
      <c r="F208" s="1386">
        <v>14.855749106530201</v>
      </c>
      <c r="K208" s="1466">
        <v>42265</v>
      </c>
      <c r="L208" s="1467" t="s">
        <v>2127</v>
      </c>
      <c r="M208" s="1468">
        <v>5.2531000000000001E-2</v>
      </c>
      <c r="N208" s="1469">
        <v>1.072297030171651</v>
      </c>
      <c r="O208" s="1469">
        <v>1.072297030171651</v>
      </c>
    </row>
    <row r="209" spans="2:15">
      <c r="B209" s="1385">
        <v>38777</v>
      </c>
      <c r="C209" s="1386">
        <v>337.339</v>
      </c>
      <c r="D209" s="1386">
        <v>2571.83</v>
      </c>
      <c r="E209" s="1386">
        <v>1.0142230199009199</v>
      </c>
      <c r="F209" s="1386">
        <v>15.067042721715453</v>
      </c>
      <c r="K209" s="1466">
        <v>42266</v>
      </c>
      <c r="L209" s="1467"/>
      <c r="M209" s="1468">
        <v>0</v>
      </c>
      <c r="N209" s="1469">
        <v>1.072297030171651</v>
      </c>
      <c r="O209" s="1469">
        <v>1.072297030171651</v>
      </c>
    </row>
    <row r="210" spans="2:15">
      <c r="B210" s="1385">
        <v>38808</v>
      </c>
      <c r="C210" s="1386">
        <v>335.92099999999999</v>
      </c>
      <c r="D210" s="1386">
        <v>2577.23</v>
      </c>
      <c r="E210" s="1386">
        <v>1.0107787821533378</v>
      </c>
      <c r="F210" s="1386">
        <v>15.229447092907858</v>
      </c>
      <c r="K210" s="1466">
        <v>42267</v>
      </c>
      <c r="L210" s="1467"/>
      <c r="M210" s="1468">
        <v>0</v>
      </c>
      <c r="N210" s="1469">
        <v>1.072297030171651</v>
      </c>
      <c r="O210" s="1469">
        <v>1.072297030171651</v>
      </c>
    </row>
    <row r="211" spans="2:15">
      <c r="B211" s="1385">
        <v>38838</v>
      </c>
      <c r="C211" s="1386">
        <v>337.185</v>
      </c>
      <c r="D211" s="1386">
        <v>2579.81</v>
      </c>
      <c r="E211" s="1386">
        <v>1.0128136552027243</v>
      </c>
      <c r="F211" s="1386">
        <v>15.424591976884511</v>
      </c>
      <c r="K211" s="1466">
        <v>42268</v>
      </c>
      <c r="L211" s="1467" t="s">
        <v>2127</v>
      </c>
      <c r="M211" s="1468">
        <v>5.2531000000000001E-2</v>
      </c>
      <c r="N211" s="1469">
        <v>1.0728603185245704</v>
      </c>
      <c r="O211" s="1469">
        <v>1.0728603185245704</v>
      </c>
    </row>
    <row r="212" spans="2:15">
      <c r="B212" s="1385">
        <v>38869</v>
      </c>
      <c r="C212" s="1386">
        <v>339.71199999999999</v>
      </c>
      <c r="D212" s="1386">
        <v>2574.39</v>
      </c>
      <c r="E212" s="1386">
        <v>1.0118439390435949</v>
      </c>
      <c r="F212" s="1386">
        <v>15.607279904031055</v>
      </c>
      <c r="K212" s="1466">
        <v>42269</v>
      </c>
      <c r="L212" s="1467" t="s">
        <v>2127</v>
      </c>
      <c r="M212" s="1468">
        <v>5.2531000000000001E-2</v>
      </c>
      <c r="N212" s="1469">
        <v>1.0734239027784946</v>
      </c>
      <c r="O212" s="1469">
        <v>1.0734239027784946</v>
      </c>
    </row>
    <row r="213" spans="2:15">
      <c r="B213" s="1385">
        <v>38899</v>
      </c>
      <c r="C213" s="1386">
        <v>340.31200000000001</v>
      </c>
      <c r="D213" s="1386">
        <v>2579.2800000000002</v>
      </c>
      <c r="E213" s="1386">
        <v>1.0116996590630269</v>
      </c>
      <c r="F213" s="1386">
        <v>15.78987975780945</v>
      </c>
      <c r="K213" s="1466">
        <v>42270</v>
      </c>
      <c r="L213" s="1467" t="s">
        <v>2127</v>
      </c>
      <c r="M213" s="1468">
        <v>5.2531000000000001E-2</v>
      </c>
      <c r="N213" s="1469">
        <v>1.0739877830888631</v>
      </c>
      <c r="O213" s="1469">
        <v>1.0739877830888631</v>
      </c>
    </row>
    <row r="214" spans="2:15">
      <c r="B214" s="1385">
        <v>38930</v>
      </c>
      <c r="C214" s="1386">
        <v>341.57400000000001</v>
      </c>
      <c r="D214" s="1386">
        <v>2580.5700000000002</v>
      </c>
      <c r="E214" s="1386">
        <v>1.012562646303421</v>
      </c>
      <c r="F214" s="1386">
        <v>15.988242432380357</v>
      </c>
      <c r="K214" s="1466">
        <v>42271</v>
      </c>
      <c r="L214" s="1467" t="s">
        <v>2127</v>
      </c>
      <c r="M214" s="1468">
        <v>5.2531000000000001E-2</v>
      </c>
      <c r="N214" s="1469">
        <v>1.0745519596111974</v>
      </c>
      <c r="O214" s="1469">
        <v>1.0745519596111974</v>
      </c>
    </row>
    <row r="215" spans="2:15" ht="13.5" customHeight="1">
      <c r="B215" s="1385">
        <v>38961</v>
      </c>
      <c r="C215" s="1386">
        <v>342.56099999999998</v>
      </c>
      <c r="D215" s="1386">
        <v>2585.9899999999998</v>
      </c>
      <c r="E215" s="1386">
        <v>1.0105730983323107</v>
      </c>
      <c r="F215" s="1386">
        <v>16.157287691778738</v>
      </c>
      <c r="K215" s="1466">
        <v>42272</v>
      </c>
      <c r="L215" s="1467" t="s">
        <v>2127</v>
      </c>
      <c r="M215" s="1468">
        <v>5.2531000000000001E-2</v>
      </c>
      <c r="N215" s="1469">
        <v>1.0751164325011009</v>
      </c>
      <c r="O215" s="1469">
        <v>1.0751164325011009</v>
      </c>
    </row>
    <row r="216" spans="2:15">
      <c r="B216" s="1385">
        <v>38991</v>
      </c>
      <c r="C216" s="1386">
        <v>344.15499999999997</v>
      </c>
      <c r="D216" s="1386">
        <v>2594.52</v>
      </c>
      <c r="E216" s="1386">
        <v>1.0109424441222723</v>
      </c>
      <c r="F216" s="1386">
        <v>16.334087909513503</v>
      </c>
      <c r="K216" s="1466">
        <v>42273</v>
      </c>
      <c r="L216" s="1467"/>
      <c r="M216" s="1468">
        <v>0</v>
      </c>
      <c r="N216" s="1469">
        <v>1.0751164325011009</v>
      </c>
      <c r="O216" s="1469">
        <v>1.0751164325011009</v>
      </c>
    </row>
    <row r="217" spans="2:15">
      <c r="B217" s="1385">
        <v>39022</v>
      </c>
      <c r="C217" s="1386">
        <v>346.74599999999998</v>
      </c>
      <c r="D217" s="1386">
        <v>2602.56</v>
      </c>
      <c r="E217" s="1386">
        <v>1.0102060517349183</v>
      </c>
      <c r="F217" s="1386">
        <v>16.500794455760701</v>
      </c>
      <c r="K217" s="1466">
        <v>42274</v>
      </c>
      <c r="L217" s="1467"/>
      <c r="M217" s="1468">
        <v>0</v>
      </c>
      <c r="N217" s="1469">
        <v>1.0751164325011009</v>
      </c>
      <c r="O217" s="1469">
        <v>1.0751164325011009</v>
      </c>
    </row>
    <row r="218" spans="2:15">
      <c r="B218" s="1385">
        <v>39052</v>
      </c>
      <c r="C218" s="1386">
        <v>347.84199999999998</v>
      </c>
      <c r="D218" s="1386">
        <v>2615.0500000000002</v>
      </c>
      <c r="E218" s="1386">
        <v>1.0098788606332807</v>
      </c>
      <c r="F218" s="1386">
        <v>16.663803504527571</v>
      </c>
      <c r="K218" s="1466">
        <v>42275</v>
      </c>
      <c r="L218" s="1467" t="s">
        <v>2127</v>
      </c>
      <c r="M218" s="1468">
        <v>5.2531000000000001E-2</v>
      </c>
      <c r="N218" s="1469">
        <v>1.0756812019142581</v>
      </c>
      <c r="O218" s="1469">
        <v>1.0756812019142581</v>
      </c>
    </row>
    <row r="219" spans="2:15">
      <c r="B219" s="1385">
        <v>39083</v>
      </c>
      <c r="C219" s="1386">
        <v>349.59300000000002</v>
      </c>
      <c r="D219" s="1386">
        <v>2626.56</v>
      </c>
      <c r="E219" s="1386">
        <v>1.0108280266006449</v>
      </c>
      <c r="F219" s="1386">
        <v>16.844239612142516</v>
      </c>
      <c r="K219" s="1466">
        <v>42276</v>
      </c>
      <c r="L219" s="1467" t="s">
        <v>2127</v>
      </c>
      <c r="M219" s="1468">
        <v>5.2531000000000001E-2</v>
      </c>
      <c r="N219" s="1469">
        <v>1.0762462680064357</v>
      </c>
      <c r="O219" s="1469">
        <v>1.0762462680064357</v>
      </c>
    </row>
    <row r="220" spans="2:15">
      <c r="B220" s="1385">
        <v>39114</v>
      </c>
      <c r="C220" s="1386">
        <v>350.524</v>
      </c>
      <c r="D220" s="1386">
        <v>2638.12</v>
      </c>
      <c r="E220" s="1386">
        <v>1.008724844950982</v>
      </c>
      <c r="F220" s="1386">
        <v>16.991202991075649</v>
      </c>
      <c r="K220" s="1466">
        <v>42277</v>
      </c>
      <c r="L220" s="1467" t="s">
        <v>2127</v>
      </c>
      <c r="M220" s="1468">
        <v>5.2531000000000001E-2</v>
      </c>
      <c r="N220" s="1469">
        <v>1.0768116309334823</v>
      </c>
      <c r="O220" s="1469">
        <v>1.0768116309334823</v>
      </c>
    </row>
    <row r="221" spans="2:15">
      <c r="B221" s="1385">
        <v>39142</v>
      </c>
      <c r="C221" s="1386">
        <v>351.71699999999998</v>
      </c>
      <c r="D221" s="1386">
        <v>2647.88</v>
      </c>
      <c r="E221" s="1386">
        <v>1.0105222327764332</v>
      </c>
      <c r="F221" s="1386">
        <v>17.169988384099376</v>
      </c>
      <c r="K221" s="1466">
        <v>42278</v>
      </c>
      <c r="L221" s="1467" t="s">
        <v>2127</v>
      </c>
      <c r="M221" s="1468">
        <v>5.2531000000000001E-2</v>
      </c>
      <c r="N221" s="1469">
        <v>1.0773772908513279</v>
      </c>
      <c r="O221" s="1469">
        <v>1.0773772908513279</v>
      </c>
    </row>
    <row r="222" spans="2:15">
      <c r="B222" s="1385">
        <v>39173</v>
      </c>
      <c r="C222" s="1386">
        <v>351.86900000000003</v>
      </c>
      <c r="D222" s="1386">
        <v>2654.5</v>
      </c>
      <c r="E222" s="1386">
        <v>1.0094482340398951</v>
      </c>
      <c r="F222" s="1386">
        <v>17.332214452814629</v>
      </c>
      <c r="K222" s="1466">
        <v>42279</v>
      </c>
      <c r="L222" s="1467" t="s">
        <v>2127</v>
      </c>
      <c r="M222" s="1468">
        <v>5.2531000000000001E-2</v>
      </c>
      <c r="N222" s="1469">
        <v>1.0779432479159849</v>
      </c>
      <c r="O222" s="1469">
        <v>1.0779432479159849</v>
      </c>
    </row>
    <row r="223" spans="2:15">
      <c r="B223" s="1385">
        <v>39203</v>
      </c>
      <c r="C223" s="1386">
        <v>352.02</v>
      </c>
      <c r="D223" s="1386">
        <v>2661.93</v>
      </c>
      <c r="E223" s="1386">
        <v>1.0102807696314628</v>
      </c>
      <c r="F223" s="1386">
        <v>17.510402956807127</v>
      </c>
      <c r="K223" s="1466">
        <v>42280</v>
      </c>
      <c r="L223" s="1467"/>
      <c r="M223" s="1468">
        <v>0</v>
      </c>
      <c r="N223" s="1469">
        <v>1.0779432479159849</v>
      </c>
      <c r="O223" s="1469">
        <v>1.0779432479159849</v>
      </c>
    </row>
    <row r="224" spans="2:15">
      <c r="B224" s="1385">
        <v>39234</v>
      </c>
      <c r="C224" s="1386">
        <v>352.93599999999998</v>
      </c>
      <c r="D224" s="1386">
        <v>2669.38</v>
      </c>
      <c r="E224" s="1386">
        <v>1.0090562894719608</v>
      </c>
      <c r="F224" s="1386">
        <v>17.668982234754651</v>
      </c>
      <c r="K224" s="1466">
        <v>42281</v>
      </c>
      <c r="L224" s="1467"/>
      <c r="M224" s="1468">
        <v>0</v>
      </c>
      <c r="N224" s="1469">
        <v>1.0779432479159849</v>
      </c>
      <c r="O224" s="1469">
        <v>1.0779432479159849</v>
      </c>
    </row>
    <row r="225" spans="2:15">
      <c r="B225" s="1385">
        <v>39264</v>
      </c>
      <c r="C225" s="1386">
        <v>353.92</v>
      </c>
      <c r="D225" s="1386">
        <v>2675.79</v>
      </c>
      <c r="E225" s="1386">
        <v>1.0097263257608722</v>
      </c>
      <c r="F225" s="1386">
        <v>17.840836511832936</v>
      </c>
      <c r="K225" s="1466">
        <v>42282</v>
      </c>
      <c r="L225" s="1467" t="s">
        <v>2127</v>
      </c>
      <c r="M225" s="1468">
        <v>5.2531000000000001E-2</v>
      </c>
      <c r="N225" s="1469">
        <v>1.0785095022835478</v>
      </c>
      <c r="O225" s="1469">
        <v>1.0785095022835478</v>
      </c>
    </row>
    <row r="226" spans="2:15">
      <c r="B226" s="1385">
        <v>39295</v>
      </c>
      <c r="C226" s="1386">
        <v>357.404</v>
      </c>
      <c r="D226" s="1386">
        <v>2688.37</v>
      </c>
      <c r="E226" s="1386">
        <v>1.0099263513682912</v>
      </c>
      <c r="F226" s="1386">
        <v>18.017930923753628</v>
      </c>
      <c r="K226" s="1466">
        <v>42283</v>
      </c>
      <c r="L226" s="1467" t="s">
        <v>2127</v>
      </c>
      <c r="M226" s="1468">
        <v>5.2531000000000001E-2</v>
      </c>
      <c r="N226" s="1469">
        <v>1.0790760541101925</v>
      </c>
      <c r="O226" s="1469">
        <v>1.0790760541101925</v>
      </c>
    </row>
    <row r="227" spans="2:15">
      <c r="B227" s="1385">
        <v>39326</v>
      </c>
      <c r="C227" s="1386">
        <v>361.99700000000001</v>
      </c>
      <c r="D227" s="1386">
        <v>2693.21</v>
      </c>
      <c r="E227" s="1386">
        <v>1.0080496134415582</v>
      </c>
      <c r="F227" s="1386">
        <v>18.162968302706542</v>
      </c>
      <c r="K227" s="1466">
        <v>42284</v>
      </c>
      <c r="L227" s="1467" t="s">
        <v>2127</v>
      </c>
      <c r="M227" s="1468">
        <v>5.2531000000000001E-2</v>
      </c>
      <c r="N227" s="1469">
        <v>1.0796429035521771</v>
      </c>
      <c r="O227" s="1469">
        <v>1.0796429035521771</v>
      </c>
    </row>
    <row r="228" spans="2:15">
      <c r="B228" s="1385">
        <v>39356</v>
      </c>
      <c r="C228" s="1386">
        <v>365.79399999999998</v>
      </c>
      <c r="D228" s="1386">
        <v>2701.29</v>
      </c>
      <c r="E228" s="1386">
        <v>1.0092949262855189</v>
      </c>
      <c r="F228" s="1386">
        <v>18.331791754206414</v>
      </c>
      <c r="K228" s="1466">
        <v>42285</v>
      </c>
      <c r="L228" s="1467" t="s">
        <v>2127</v>
      </c>
      <c r="M228" s="1468">
        <v>5.2531000000000001E-2</v>
      </c>
      <c r="N228" s="1469">
        <v>1.0802100507658421</v>
      </c>
      <c r="O228" s="1469">
        <v>1.0802100507658421</v>
      </c>
    </row>
    <row r="229" spans="2:15">
      <c r="B229" s="1385">
        <v>39387</v>
      </c>
      <c r="C229" s="1386">
        <v>368.334</v>
      </c>
      <c r="D229" s="1386">
        <v>2711.55</v>
      </c>
      <c r="E229" s="1386">
        <v>1.0084467048252397</v>
      </c>
      <c r="F229" s="1386">
        <v>18.486634988071959</v>
      </c>
      <c r="K229" s="1466">
        <v>42286</v>
      </c>
      <c r="L229" s="1467" t="s">
        <v>2127</v>
      </c>
      <c r="M229" s="1468">
        <v>5.2531000000000001E-2</v>
      </c>
      <c r="N229" s="1469">
        <v>1.08077749590761</v>
      </c>
      <c r="O229" s="1469">
        <v>1.08077749590761</v>
      </c>
    </row>
    <row r="230" spans="2:15">
      <c r="B230" s="1385">
        <v>39417</v>
      </c>
      <c r="C230" s="1386">
        <v>374.815</v>
      </c>
      <c r="D230" s="1386">
        <v>2731.62</v>
      </c>
      <c r="E230" s="1386">
        <v>1.0084467048252395</v>
      </c>
      <c r="F230" s="1386">
        <v>18.642786137028146</v>
      </c>
      <c r="K230" s="1466">
        <v>42287</v>
      </c>
      <c r="L230" s="1467"/>
      <c r="M230" s="1468">
        <v>0</v>
      </c>
      <c r="N230" s="1469">
        <v>1.08077749590761</v>
      </c>
      <c r="O230" s="1469">
        <v>1.08077749590761</v>
      </c>
    </row>
    <row r="231" spans="2:15">
      <c r="B231" s="1385">
        <v>39448</v>
      </c>
      <c r="C231" s="1386">
        <v>378.9</v>
      </c>
      <c r="D231" s="1386">
        <v>2746.37</v>
      </c>
      <c r="E231" s="1386">
        <v>1.0092938367057227</v>
      </c>
      <c r="F231" s="1386">
        <v>18.816049147125398</v>
      </c>
      <c r="K231" s="1466">
        <v>42288</v>
      </c>
      <c r="L231" s="1467"/>
      <c r="M231" s="1468">
        <v>0</v>
      </c>
      <c r="N231" s="1469">
        <v>1.08077749590761</v>
      </c>
      <c r="O231" s="1469">
        <v>1.08077749590761</v>
      </c>
    </row>
    <row r="232" spans="2:15">
      <c r="B232" s="1385">
        <v>39479</v>
      </c>
      <c r="C232" s="1386">
        <v>380.90600000000001</v>
      </c>
      <c r="D232" s="1386">
        <v>2759.83</v>
      </c>
      <c r="E232" s="1386">
        <v>1.0080223173492819</v>
      </c>
      <c r="F232" s="1386">
        <v>18.966997464643324</v>
      </c>
      <c r="K232" s="1466">
        <v>42289</v>
      </c>
      <c r="L232" s="1467"/>
      <c r="M232" s="1468">
        <v>0</v>
      </c>
      <c r="N232" s="1469">
        <v>1.08077749590761</v>
      </c>
      <c r="O232" s="1469">
        <v>1.08077749590761</v>
      </c>
    </row>
    <row r="233" spans="2:15">
      <c r="B233" s="1385">
        <v>39508</v>
      </c>
      <c r="C233" s="1386">
        <v>383.73099999999999</v>
      </c>
      <c r="D233" s="1386">
        <v>2773.08</v>
      </c>
      <c r="E233" s="1386">
        <v>1.0084459790490408</v>
      </c>
      <c r="F233" s="1386">
        <v>19.12719232785291</v>
      </c>
      <c r="K233" s="1466">
        <v>42290</v>
      </c>
      <c r="L233" s="1467" t="s">
        <v>2127</v>
      </c>
      <c r="M233" s="1468">
        <v>5.2531000000000001E-2</v>
      </c>
      <c r="N233" s="1469">
        <v>1.0813452391339853</v>
      </c>
      <c r="O233" s="1469">
        <v>1.0813452391339853</v>
      </c>
    </row>
    <row r="234" spans="2:15">
      <c r="B234" s="1385">
        <v>39539</v>
      </c>
      <c r="C234" s="1386">
        <v>386.38</v>
      </c>
      <c r="D234" s="1386">
        <v>2788.33</v>
      </c>
      <c r="E234" s="1386">
        <v>1.0090142575644072</v>
      </c>
      <c r="F234" s="1386">
        <v>19.299609765980129</v>
      </c>
      <c r="K234" s="1466">
        <v>42291</v>
      </c>
      <c r="L234" s="1467" t="s">
        <v>2127</v>
      </c>
      <c r="M234" s="1468">
        <v>5.2531000000000001E-2</v>
      </c>
      <c r="N234" s="1469">
        <v>1.0819132806015548</v>
      </c>
      <c r="O234" s="1469">
        <v>1.0819132806015548</v>
      </c>
    </row>
    <row r="235" spans="2:15">
      <c r="B235" s="1385">
        <v>39569</v>
      </c>
      <c r="C235" s="1386">
        <v>392.59199999999998</v>
      </c>
      <c r="D235" s="1386">
        <v>2810.36</v>
      </c>
      <c r="E235" s="1386">
        <v>1.0087678287685495</v>
      </c>
      <c r="F235" s="1386">
        <v>19.46882543970807</v>
      </c>
      <c r="K235" s="1466">
        <v>42292</v>
      </c>
      <c r="L235" s="1467" t="s">
        <v>2127</v>
      </c>
      <c r="M235" s="1468">
        <v>5.2531000000000001E-2</v>
      </c>
      <c r="N235" s="1469">
        <v>1.0824816204669876</v>
      </c>
      <c r="O235" s="1469">
        <v>1.0824816204669876</v>
      </c>
    </row>
    <row r="236" spans="2:15">
      <c r="B236" s="1385">
        <v>39600</v>
      </c>
      <c r="C236" s="1386">
        <v>400.38200000000001</v>
      </c>
      <c r="D236" s="1386">
        <v>2831.16</v>
      </c>
      <c r="E236" s="1386">
        <v>1.0095559246898425</v>
      </c>
      <c r="F236" s="1386">
        <v>19.654868069409609</v>
      </c>
      <c r="K236" s="1466">
        <v>42293</v>
      </c>
      <c r="L236" s="1467" t="s">
        <v>2127</v>
      </c>
      <c r="M236" s="1468">
        <v>5.2531000000000001E-2</v>
      </c>
      <c r="N236" s="1469">
        <v>1.0830502588870352</v>
      </c>
      <c r="O236" s="1469">
        <v>1.0830502588870352</v>
      </c>
    </row>
    <row r="237" spans="2:15">
      <c r="B237" s="1385">
        <v>39630</v>
      </c>
      <c r="C237" s="1386">
        <v>407.44600000000003</v>
      </c>
      <c r="D237" s="1386">
        <v>2846.16</v>
      </c>
      <c r="E237" s="1386">
        <v>1.0106967121371</v>
      </c>
      <c r="F237" s="1386">
        <v>19.865110535240763</v>
      </c>
      <c r="K237" s="1466">
        <v>42294</v>
      </c>
      <c r="L237" s="1467"/>
      <c r="M237" s="1468">
        <v>0</v>
      </c>
      <c r="N237" s="1469">
        <v>1.0830502588870352</v>
      </c>
      <c r="O237" s="1469">
        <v>1.0830502588870352</v>
      </c>
    </row>
    <row r="238" spans="2:15">
      <c r="B238" s="1385">
        <v>39661</v>
      </c>
      <c r="C238" s="1386">
        <v>406.12700000000001</v>
      </c>
      <c r="D238" s="1386">
        <v>2854.13</v>
      </c>
      <c r="E238" s="1386">
        <v>1.0101765713502602</v>
      </c>
      <c r="F238" s="1386">
        <v>20.067269249983447</v>
      </c>
      <c r="K238" s="1466">
        <v>42295</v>
      </c>
      <c r="L238" s="1467"/>
      <c r="M238" s="1468">
        <v>0</v>
      </c>
      <c r="N238" s="1469">
        <v>1.0830502588870352</v>
      </c>
      <c r="O238" s="1469">
        <v>1.0830502588870352</v>
      </c>
    </row>
    <row r="239" spans="2:15">
      <c r="B239" s="1385">
        <v>39692</v>
      </c>
      <c r="C239" s="1386">
        <v>406.55700000000002</v>
      </c>
      <c r="D239" s="1386">
        <v>2861.55</v>
      </c>
      <c r="E239" s="1386">
        <v>1.011030909274969</v>
      </c>
      <c r="F239" s="1386">
        <v>20.288629476476387</v>
      </c>
      <c r="K239" s="1466">
        <v>42296</v>
      </c>
      <c r="L239" s="1467" t="s">
        <v>2127</v>
      </c>
      <c r="M239" s="1468">
        <v>5.2531000000000001E-2</v>
      </c>
      <c r="N239" s="1469">
        <v>1.0836191960185311</v>
      </c>
      <c r="O239" s="1469">
        <v>1.0836191960185311</v>
      </c>
    </row>
    <row r="240" spans="2:15">
      <c r="B240" s="1385">
        <v>39722</v>
      </c>
      <c r="C240" s="1386">
        <v>410.524</v>
      </c>
      <c r="D240" s="1386">
        <v>2874.43</v>
      </c>
      <c r="E240" s="1386">
        <v>1.0117587656900342</v>
      </c>
      <c r="F240" s="1386">
        <v>20.527198716662195</v>
      </c>
      <c r="K240" s="1466">
        <v>42297</v>
      </c>
      <c r="L240" s="1467" t="s">
        <v>2127</v>
      </c>
      <c r="M240" s="1468">
        <v>5.2531000000000001E-2</v>
      </c>
      <c r="N240" s="1469">
        <v>1.0841884320183917</v>
      </c>
      <c r="O240" s="1469">
        <v>1.0841884320183917</v>
      </c>
    </row>
    <row r="241" spans="2:15">
      <c r="B241" s="1385">
        <v>39753</v>
      </c>
      <c r="C241" s="1386">
        <v>412.10399999999998</v>
      </c>
      <c r="D241" s="1386">
        <v>2884.78</v>
      </c>
      <c r="E241" s="1386">
        <v>1.0101996908301405</v>
      </c>
      <c r="F241" s="1386">
        <v>20.736569797181005</v>
      </c>
      <c r="K241" s="1466">
        <v>42298</v>
      </c>
      <c r="L241" s="1467" t="s">
        <v>2127</v>
      </c>
      <c r="M241" s="1468">
        <v>5.2531000000000001E-2</v>
      </c>
      <c r="N241" s="1469">
        <v>1.0847579670436152</v>
      </c>
      <c r="O241" s="1469">
        <v>1.0847579670436152</v>
      </c>
    </row>
    <row r="242" spans="2:15">
      <c r="B242" s="1385">
        <v>39783</v>
      </c>
      <c r="C242" s="1386">
        <v>411.57499999999999</v>
      </c>
      <c r="D242" s="1386">
        <v>2892.86</v>
      </c>
      <c r="E242" s="1386">
        <v>1.0112409294280835</v>
      </c>
      <c r="F242" s="1386">
        <v>20.969668114851643</v>
      </c>
      <c r="K242" s="1466">
        <v>42299</v>
      </c>
      <c r="L242" s="1467" t="s">
        <v>2127</v>
      </c>
      <c r="M242" s="1468">
        <v>5.2531000000000001E-2</v>
      </c>
      <c r="N242" s="1469">
        <v>1.0853278012512828</v>
      </c>
      <c r="O242" s="1469">
        <v>1.0853278012512828</v>
      </c>
    </row>
    <row r="243" spans="2:15">
      <c r="B243" s="1385">
        <v>39814</v>
      </c>
      <c r="C243" s="1386">
        <v>409.78199999999998</v>
      </c>
      <c r="D243" s="1386">
        <v>2906.74</v>
      </c>
      <c r="E243" s="1386">
        <v>1.0104780743150839</v>
      </c>
      <c r="F243" s="1386">
        <v>21.189389855721704</v>
      </c>
      <c r="K243" s="1466">
        <v>42300</v>
      </c>
      <c r="L243" s="1467" t="s">
        <v>2127</v>
      </c>
      <c r="M243" s="1468">
        <v>5.2531000000000001E-2</v>
      </c>
      <c r="N243" s="1469">
        <v>1.0858979347985582</v>
      </c>
      <c r="O243" s="1469">
        <v>1.0858979347985582</v>
      </c>
    </row>
    <row r="244" spans="2:15">
      <c r="B244" s="1385">
        <v>39845</v>
      </c>
      <c r="C244" s="1386">
        <v>410.84899999999999</v>
      </c>
      <c r="D244" s="1386">
        <v>2922.73</v>
      </c>
      <c r="E244" s="1386">
        <v>1.0085508573858042</v>
      </c>
      <c r="F244" s="1386">
        <v>21.370577306470185</v>
      </c>
      <c r="K244" s="1466">
        <v>42301</v>
      </c>
      <c r="L244" s="1467"/>
      <c r="M244" s="1468">
        <v>0</v>
      </c>
      <c r="N244" s="1469">
        <v>1.0858979347985582</v>
      </c>
      <c r="O244" s="1469">
        <v>1.0858979347985582</v>
      </c>
    </row>
    <row r="245" spans="2:15">
      <c r="B245" s="1385">
        <v>39873</v>
      </c>
      <c r="C245" s="1386">
        <v>407.80799999999999</v>
      </c>
      <c r="D245" s="1386">
        <v>2928.57</v>
      </c>
      <c r="E245" s="1386">
        <v>1.0097088387156097</v>
      </c>
      <c r="F245" s="1386">
        <v>21.578060794798173</v>
      </c>
      <c r="K245" s="1466">
        <v>42302</v>
      </c>
      <c r="L245" s="1467"/>
      <c r="M245" s="1468">
        <v>0</v>
      </c>
      <c r="N245" s="1469">
        <v>1.0858979347985582</v>
      </c>
      <c r="O245" s="1469">
        <v>1.0858979347985582</v>
      </c>
    </row>
    <row r="246" spans="2:15">
      <c r="B246" s="1385">
        <v>39904</v>
      </c>
      <c r="C246" s="1386">
        <v>407.18099999999998</v>
      </c>
      <c r="D246" s="1386">
        <v>2942.63</v>
      </c>
      <c r="E246" s="1386">
        <v>1.008395669248594</v>
      </c>
      <c r="F246" s="1386">
        <v>21.759223056257351</v>
      </c>
      <c r="K246" s="1466">
        <v>42303</v>
      </c>
      <c r="L246" s="1467" t="s">
        <v>2127</v>
      </c>
      <c r="M246" s="1468">
        <v>5.2531000000000001E-2</v>
      </c>
      <c r="N246" s="1469">
        <v>1.0864683678426872</v>
      </c>
      <c r="O246" s="1469">
        <v>1.0864683678426872</v>
      </c>
    </row>
    <row r="247" spans="2:15">
      <c r="B247" s="1385">
        <v>39934</v>
      </c>
      <c r="C247" s="1386">
        <v>406.88499999999999</v>
      </c>
      <c r="D247" s="1386">
        <v>2956.46</v>
      </c>
      <c r="E247" s="1386">
        <v>1.0077089274459567</v>
      </c>
      <c r="F247" s="1386">
        <v>21.926963328078429</v>
      </c>
      <c r="K247" s="1466">
        <v>42304</v>
      </c>
      <c r="L247" s="1467" t="s">
        <v>2127</v>
      </c>
      <c r="M247" s="1468">
        <v>5.2531000000000001E-2</v>
      </c>
      <c r="N247" s="1469">
        <v>1.0870391005409987</v>
      </c>
      <c r="O247" s="1469">
        <v>1.0870391005409987</v>
      </c>
    </row>
    <row r="248" spans="2:15">
      <c r="B248" s="1385">
        <v>39965</v>
      </c>
      <c r="C248" s="1386">
        <v>406.48599999999999</v>
      </c>
      <c r="D248" s="1386">
        <v>2967.1</v>
      </c>
      <c r="E248" s="1386">
        <v>1.0076218232644543</v>
      </c>
      <c r="F248" s="1386">
        <v>22.094086767291213</v>
      </c>
      <c r="K248" s="1466">
        <v>42305</v>
      </c>
      <c r="L248" s="1467" t="s">
        <v>2127</v>
      </c>
      <c r="M248" s="1468">
        <v>5.2531000000000001E-2</v>
      </c>
      <c r="N248" s="1469">
        <v>1.0876101330509038</v>
      </c>
      <c r="O248" s="1469">
        <v>1.0876101330509038</v>
      </c>
    </row>
    <row r="249" spans="2:15">
      <c r="B249" s="1385">
        <v>39995</v>
      </c>
      <c r="C249" s="1386">
        <v>404.71800000000002</v>
      </c>
      <c r="D249" s="1386">
        <v>2974.22</v>
      </c>
      <c r="E249" s="1386">
        <v>1.0079014252372847</v>
      </c>
      <c r="F249" s="1386">
        <v>22.268661542069044</v>
      </c>
      <c r="K249" s="1466">
        <v>42306</v>
      </c>
      <c r="L249" s="1467" t="s">
        <v>2127</v>
      </c>
      <c r="M249" s="1468">
        <v>5.2531000000000001E-2</v>
      </c>
      <c r="N249" s="1469">
        <v>1.0881814655298967</v>
      </c>
      <c r="O249" s="1469">
        <v>1.0881814655298967</v>
      </c>
    </row>
    <row r="250" spans="2:15">
      <c r="B250" s="1385">
        <v>40026</v>
      </c>
      <c r="C250" s="1386">
        <v>403.25299999999999</v>
      </c>
      <c r="D250" s="1386">
        <v>2978.68</v>
      </c>
      <c r="E250" s="1386">
        <v>1.0069374854840563</v>
      </c>
      <c r="F250" s="1386">
        <v>22.423150058266511</v>
      </c>
      <c r="K250" s="1466">
        <v>42307</v>
      </c>
      <c r="L250" s="1467" t="s">
        <v>2127</v>
      </c>
      <c r="M250" s="1468">
        <v>5.2531000000000001E-2</v>
      </c>
      <c r="N250" s="1469">
        <v>1.0887530981355542</v>
      </c>
      <c r="O250" s="1469">
        <v>1.0887530981355542</v>
      </c>
    </row>
    <row r="251" spans="2:15">
      <c r="B251" s="1385">
        <v>40057</v>
      </c>
      <c r="C251" s="1386">
        <v>404.94499999999999</v>
      </c>
      <c r="D251" s="1386">
        <v>2985.83</v>
      </c>
      <c r="E251" s="1386">
        <v>1.0069374854840563</v>
      </c>
      <c r="F251" s="1386">
        <v>22.578710336302549</v>
      </c>
      <c r="K251" s="1466">
        <v>42308</v>
      </c>
      <c r="L251" s="1467"/>
      <c r="M251" s="1468">
        <v>0</v>
      </c>
      <c r="N251" s="1469">
        <v>1.0887530981355542</v>
      </c>
      <c r="O251" s="1469">
        <v>1.0887530981355542</v>
      </c>
    </row>
    <row r="252" spans="2:15">
      <c r="B252" s="1385">
        <v>40087</v>
      </c>
      <c r="C252" s="1386">
        <v>405.12900000000002</v>
      </c>
      <c r="D252" s="1386">
        <v>2994.19</v>
      </c>
      <c r="E252" s="1386">
        <v>1.006937485484056</v>
      </c>
      <c r="F252" s="1386">
        <v>22.735349811509355</v>
      </c>
      <c r="K252" s="1466">
        <v>42309</v>
      </c>
      <c r="L252" s="1467"/>
      <c r="M252" s="1468">
        <v>0</v>
      </c>
      <c r="N252" s="1469">
        <v>1.0887530981355542</v>
      </c>
      <c r="O252" s="1469">
        <v>1.0887530981355542</v>
      </c>
    </row>
    <row r="253" spans="2:15">
      <c r="B253" s="1385">
        <v>40118</v>
      </c>
      <c r="C253" s="1386">
        <v>405.548</v>
      </c>
      <c r="D253" s="1386">
        <v>3006.47</v>
      </c>
      <c r="E253" s="1386">
        <v>1.006606040313162</v>
      </c>
      <c r="F253" s="1386">
        <v>22.885540448898027</v>
      </c>
      <c r="K253" s="1466">
        <v>42310</v>
      </c>
      <c r="L253" s="1467"/>
      <c r="M253" s="1468">
        <v>0</v>
      </c>
      <c r="N253" s="1469">
        <v>1.0887530981355542</v>
      </c>
      <c r="O253" s="1469">
        <v>1.0887530981355542</v>
      </c>
    </row>
    <row r="254" spans="2:15">
      <c r="B254" s="1385">
        <v>40148</v>
      </c>
      <c r="C254" s="1386">
        <v>404.49900000000002</v>
      </c>
      <c r="D254" s="1386">
        <v>3017.59</v>
      </c>
      <c r="E254" s="1386">
        <v>1.0072686672230315</v>
      </c>
      <c r="F254" s="1386">
        <v>23.051887826640293</v>
      </c>
      <c r="K254" s="1466">
        <v>42311</v>
      </c>
      <c r="L254" s="1467" t="s">
        <v>2127</v>
      </c>
      <c r="M254" s="1468">
        <v>5.2531000000000001E-2</v>
      </c>
      <c r="N254" s="1469">
        <v>1.0893250310255358</v>
      </c>
      <c r="O254" s="1469">
        <v>1.0893250310255358</v>
      </c>
    </row>
    <row r="255" spans="2:15">
      <c r="B255" s="1385">
        <v>40179</v>
      </c>
      <c r="C255" s="1386">
        <v>407.04899999999998</v>
      </c>
      <c r="D255" s="1386">
        <v>3040.22</v>
      </c>
      <c r="E255" s="1386">
        <v>1.0066056679915218</v>
      </c>
      <c r="F255" s="1386">
        <v>23.204160944200883</v>
      </c>
      <c r="K255" s="1466">
        <v>42312</v>
      </c>
      <c r="L255" s="1467" t="s">
        <v>2127</v>
      </c>
      <c r="M255" s="1468">
        <v>5.2531000000000001E-2</v>
      </c>
      <c r="N255" s="1469">
        <v>1.0898972643575837</v>
      </c>
      <c r="O255" s="1469">
        <v>1.0898972643575837</v>
      </c>
    </row>
    <row r="256" spans="2:15">
      <c r="B256" s="1385">
        <v>40210</v>
      </c>
      <c r="C256" s="1386">
        <v>411.84300000000002</v>
      </c>
      <c r="D256" s="1386">
        <v>3063.93</v>
      </c>
      <c r="E256" s="1386">
        <v>1.0059434772325486</v>
      </c>
      <c r="F256" s="1386">
        <v>23.342074346473133</v>
      </c>
      <c r="K256" s="1466">
        <v>42313</v>
      </c>
      <c r="L256" s="1467" t="s">
        <v>2127</v>
      </c>
      <c r="M256" s="1468">
        <v>5.2531000000000001E-2</v>
      </c>
      <c r="N256" s="1469">
        <v>1.0904697982895235</v>
      </c>
      <c r="O256" s="1469">
        <v>1.0904697982895235</v>
      </c>
    </row>
    <row r="257" spans="2:15">
      <c r="B257" s="1385">
        <v>40238</v>
      </c>
      <c r="C257" s="1386">
        <v>415.73399999999998</v>
      </c>
      <c r="D257" s="1386">
        <v>3079.86</v>
      </c>
      <c r="E257" s="1386">
        <v>1.0076007032666325</v>
      </c>
      <c r="F257" s="1386">
        <v>23.519490527208351</v>
      </c>
      <c r="K257" s="1466">
        <v>42314</v>
      </c>
      <c r="L257" s="1467" t="s">
        <v>2127</v>
      </c>
      <c r="M257" s="1468">
        <v>5.2531000000000001E-2</v>
      </c>
      <c r="N257" s="1469">
        <v>1.0910426329792631</v>
      </c>
      <c r="O257" s="1469">
        <v>1.0910426329792631</v>
      </c>
    </row>
    <row r="258" spans="2:15">
      <c r="B258" s="1385">
        <v>40269</v>
      </c>
      <c r="C258" s="1386">
        <v>418.91699999999997</v>
      </c>
      <c r="D258" s="1386">
        <v>3097.42</v>
      </c>
      <c r="E258" s="1386">
        <v>1.0066591320264642</v>
      </c>
      <c r="F258" s="1386">
        <v>23.676109919824206</v>
      </c>
      <c r="K258" s="1466">
        <v>42315</v>
      </c>
      <c r="L258" s="1467"/>
      <c r="M258" s="1468">
        <v>0</v>
      </c>
      <c r="N258" s="1469">
        <v>1.0910426329792631</v>
      </c>
      <c r="O258" s="1469">
        <v>1.0910426329792631</v>
      </c>
    </row>
    <row r="259" spans="2:15">
      <c r="B259" s="1385">
        <v>40299</v>
      </c>
      <c r="C259" s="1386">
        <v>423.88499999999999</v>
      </c>
      <c r="D259" s="1386">
        <v>3110.74</v>
      </c>
      <c r="E259" s="1386">
        <v>1.0075136425194853</v>
      </c>
      <c r="F259" s="1386">
        <v>23.854003746013806</v>
      </c>
      <c r="K259" s="1466">
        <v>42316</v>
      </c>
      <c r="L259" s="1467"/>
      <c r="M259" s="1468">
        <v>0</v>
      </c>
      <c r="N259" s="1469">
        <v>1.0910426329792631</v>
      </c>
      <c r="O259" s="1469">
        <v>1.0910426329792631</v>
      </c>
    </row>
    <row r="260" spans="2:15">
      <c r="B260" s="1385">
        <v>40330</v>
      </c>
      <c r="C260" s="1386">
        <v>427.48899999999998</v>
      </c>
      <c r="D260" s="1386">
        <v>3110.74</v>
      </c>
      <c r="E260" s="1386">
        <v>1.0079257581819461</v>
      </c>
      <c r="F260" s="1386">
        <v>24.043064811375949</v>
      </c>
      <c r="K260" s="1466">
        <v>42317</v>
      </c>
      <c r="L260" s="1467" t="s">
        <v>2127</v>
      </c>
      <c r="M260" s="1468">
        <v>5.2531000000000001E-2</v>
      </c>
      <c r="N260" s="1469">
        <v>1.0916157685847934</v>
      </c>
      <c r="O260" s="1469">
        <v>1.0916157685847934</v>
      </c>
    </row>
    <row r="261" spans="2:15">
      <c r="B261" s="1385">
        <v>40360</v>
      </c>
      <c r="C261" s="1386">
        <v>428.15</v>
      </c>
      <c r="D261" s="1386">
        <v>3111.05</v>
      </c>
      <c r="E261" s="1386">
        <v>1.0086102956499179</v>
      </c>
      <c r="F261" s="1386">
        <v>24.250082707732034</v>
      </c>
      <c r="K261" s="1466">
        <v>42318</v>
      </c>
      <c r="L261" s="1467" t="s">
        <v>2127</v>
      </c>
      <c r="M261" s="1468">
        <v>5.2531000000000001E-2</v>
      </c>
      <c r="N261" s="1469">
        <v>1.0921892052641886</v>
      </c>
      <c r="O261" s="1469">
        <v>1.0921892052641886</v>
      </c>
    </row>
    <row r="262" spans="2:15">
      <c r="B262" s="1385">
        <v>40391</v>
      </c>
      <c r="C262" s="1386">
        <v>431.44499999999999</v>
      </c>
      <c r="D262" s="1386">
        <v>3112.29</v>
      </c>
      <c r="E262" s="1386">
        <v>1.0088820963555043</v>
      </c>
      <c r="F262" s="1386">
        <v>24.465474278971058</v>
      </c>
      <c r="K262" s="1466">
        <v>42319</v>
      </c>
      <c r="L262" s="1467" t="s">
        <v>2127</v>
      </c>
      <c r="M262" s="1468">
        <v>5.2531000000000001E-2</v>
      </c>
      <c r="N262" s="1469">
        <v>1.0927629431756058</v>
      </c>
      <c r="O262" s="1469">
        <v>1.0927629431756058</v>
      </c>
    </row>
    <row r="263" spans="2:15">
      <c r="B263" s="1385">
        <v>40422</v>
      </c>
      <c r="C263" s="1386">
        <v>436.423</v>
      </c>
      <c r="D263" s="1386">
        <v>3126.29</v>
      </c>
      <c r="E263" s="1386">
        <v>1.0084766584844942</v>
      </c>
      <c r="F263" s="1386">
        <v>24.672859749095071</v>
      </c>
      <c r="K263" s="1466">
        <v>42320</v>
      </c>
      <c r="L263" s="1467" t="s">
        <v>2127</v>
      </c>
      <c r="M263" s="1468">
        <v>5.2531000000000001E-2</v>
      </c>
      <c r="N263" s="1469">
        <v>1.0933369824772854</v>
      </c>
      <c r="O263" s="1469">
        <v>1.0933369824772854</v>
      </c>
    </row>
    <row r="264" spans="2:15">
      <c r="B264" s="1385">
        <v>40452</v>
      </c>
      <c r="C264" s="1386">
        <v>440.82900000000001</v>
      </c>
      <c r="D264" s="1386">
        <v>3149.74</v>
      </c>
      <c r="E264" s="1386">
        <v>1.0080713835461668</v>
      </c>
      <c r="F264" s="1386">
        <v>24.872003863310798</v>
      </c>
      <c r="K264" s="1466">
        <v>42321</v>
      </c>
      <c r="L264" s="1467" t="s">
        <v>2127</v>
      </c>
      <c r="M264" s="1468">
        <v>5.2531000000000001E-2</v>
      </c>
      <c r="N264" s="1469">
        <v>1.0939113233275506</v>
      </c>
      <c r="O264" s="1469">
        <v>1.0939113233275506</v>
      </c>
    </row>
    <row r="265" spans="2:15">
      <c r="B265" s="1385">
        <v>40483</v>
      </c>
      <c r="C265" s="1386">
        <v>447.20600000000002</v>
      </c>
      <c r="D265" s="1386">
        <v>3175.88</v>
      </c>
      <c r="E265" s="1386">
        <v>1.008071383546167</v>
      </c>
      <c r="F265" s="1386">
        <v>25.072755346053327</v>
      </c>
      <c r="K265" s="1466">
        <v>42322</v>
      </c>
      <c r="L265" s="1467"/>
      <c r="M265" s="1468">
        <v>0</v>
      </c>
      <c r="N265" s="1469">
        <v>1.0939113233275506</v>
      </c>
      <c r="O265" s="1469">
        <v>1.0939113233275506</v>
      </c>
    </row>
    <row r="266" spans="2:15">
      <c r="B266" s="1385">
        <v>40513</v>
      </c>
      <c r="C266" s="1386">
        <v>450.30099999999999</v>
      </c>
      <c r="D266" s="1386">
        <v>3195.89</v>
      </c>
      <c r="E266" s="1386">
        <v>1.0092887868177591</v>
      </c>
      <c r="F266" s="1386">
        <v>25.305650825396647</v>
      </c>
      <c r="K266" s="1466">
        <v>42323</v>
      </c>
      <c r="L266" s="1467"/>
      <c r="M266" s="1468">
        <v>0</v>
      </c>
      <c r="N266" s="1469">
        <v>1.0939113233275506</v>
      </c>
      <c r="O266" s="1469">
        <v>1.0939113233275506</v>
      </c>
    </row>
    <row r="267" spans="2:15">
      <c r="B267" s="1385">
        <v>40544</v>
      </c>
      <c r="C267" s="1386">
        <v>453.875</v>
      </c>
      <c r="D267" s="1386">
        <v>3222.42</v>
      </c>
      <c r="E267" s="1386">
        <v>1.0086232010755674</v>
      </c>
      <c r="F267" s="1386">
        <v>25.52386654081214</v>
      </c>
      <c r="K267" s="1466">
        <v>42324</v>
      </c>
      <c r="L267" s="1467" t="s">
        <v>2127</v>
      </c>
      <c r="M267" s="1468">
        <v>5.2531000000000001E-2</v>
      </c>
      <c r="N267" s="1469">
        <v>1.0944859658848078</v>
      </c>
      <c r="O267" s="1469">
        <v>1.0944859658848078</v>
      </c>
    </row>
    <row r="268" spans="2:15">
      <c r="B268" s="1385">
        <v>40575</v>
      </c>
      <c r="C268" s="1386">
        <v>458.39699999999999</v>
      </c>
      <c r="D268" s="1386">
        <v>3248.2</v>
      </c>
      <c r="E268" s="1386">
        <v>1.0084390842010735</v>
      </c>
      <c r="F268" s="1386">
        <v>25.739264599687019</v>
      </c>
      <c r="K268" s="1466">
        <v>42325</v>
      </c>
      <c r="L268" s="1467" t="s">
        <v>2127</v>
      </c>
      <c r="M268" s="1468">
        <v>5.2531000000000001E-2</v>
      </c>
      <c r="N268" s="1469">
        <v>1.0950609103075468</v>
      </c>
      <c r="O268" s="1469">
        <v>1.0950609103075468</v>
      </c>
    </row>
    <row r="269" spans="2:15">
      <c r="B269" s="1385">
        <v>40603</v>
      </c>
      <c r="C269" s="1386">
        <v>461.24900000000002</v>
      </c>
      <c r="D269" s="1386">
        <v>3273.86</v>
      </c>
      <c r="E269" s="1386">
        <v>1.0092045846073012</v>
      </c>
      <c r="F269" s="1386">
        <v>25.97618383842455</v>
      </c>
      <c r="K269" s="1466">
        <v>42326</v>
      </c>
      <c r="L269" s="1467" t="s">
        <v>2127</v>
      </c>
      <c r="M269" s="1468">
        <v>5.2531000000000001E-2</v>
      </c>
      <c r="N269" s="1469">
        <v>1.0956361567543405</v>
      </c>
      <c r="O269" s="1469">
        <v>1.0956361567543405</v>
      </c>
    </row>
    <row r="270" spans="2:15">
      <c r="B270" s="1385">
        <v>40634</v>
      </c>
      <c r="C270" s="1386">
        <v>463.31099999999998</v>
      </c>
      <c r="D270" s="1386">
        <v>3299.07</v>
      </c>
      <c r="E270" s="1386">
        <v>1.0084015541577225</v>
      </c>
      <c r="F270" s="1386">
        <v>26.194424153754028</v>
      </c>
      <c r="K270" s="1466">
        <v>42327</v>
      </c>
      <c r="L270" s="1467" t="s">
        <v>2127</v>
      </c>
      <c r="M270" s="1468">
        <v>5.2531000000000001E-2</v>
      </c>
      <c r="N270" s="1469">
        <v>1.0962117053838452</v>
      </c>
      <c r="O270" s="1469">
        <v>1.0962117053838452</v>
      </c>
    </row>
    <row r="271" spans="2:15">
      <c r="B271" s="1385">
        <v>40664</v>
      </c>
      <c r="C271" s="1386">
        <v>465.31099999999998</v>
      </c>
      <c r="D271" s="1386">
        <v>3314.58</v>
      </c>
      <c r="E271" s="1386">
        <v>1.0098798495673293</v>
      </c>
      <c r="F271" s="1386">
        <v>26.453221123895936</v>
      </c>
      <c r="K271" s="1466">
        <v>42328</v>
      </c>
      <c r="L271" s="1467" t="s">
        <v>2127</v>
      </c>
      <c r="M271" s="1468">
        <v>5.2531000000000001E-2</v>
      </c>
      <c r="N271" s="1469">
        <v>1.0967875563548004</v>
      </c>
      <c r="O271" s="1469">
        <v>1.0967875563548004</v>
      </c>
    </row>
    <row r="272" spans="2:15">
      <c r="B272" s="1385">
        <v>40695</v>
      </c>
      <c r="C272" s="1386">
        <v>464.46300000000002</v>
      </c>
      <c r="D272" s="1386">
        <v>3319.55</v>
      </c>
      <c r="E272" s="1386">
        <v>1.0095627565914342</v>
      </c>
      <c r="F272" s="1386">
        <v>26.706186838563141</v>
      </c>
      <c r="K272" s="1466">
        <v>42329</v>
      </c>
      <c r="L272" s="1467"/>
      <c r="M272" s="1468">
        <v>0</v>
      </c>
      <c r="N272" s="1469">
        <v>1.0967875563548004</v>
      </c>
      <c r="O272" s="1469">
        <v>1.0967875563548004</v>
      </c>
    </row>
    <row r="273" spans="2:15">
      <c r="B273" s="1385">
        <v>40725</v>
      </c>
      <c r="C273" s="1386">
        <v>463.92700000000002</v>
      </c>
      <c r="D273" s="1386">
        <v>3324.86</v>
      </c>
      <c r="E273" s="1386">
        <v>1.0096788504099796</v>
      </c>
      <c r="F273" s="1386">
        <v>26.96467202599456</v>
      </c>
      <c r="K273" s="1466">
        <v>42330</v>
      </c>
      <c r="L273" s="1467"/>
      <c r="M273" s="1468">
        <v>0</v>
      </c>
      <c r="N273" s="1469">
        <v>1.0967875563548004</v>
      </c>
      <c r="O273" s="1469">
        <v>1.0967875563548004</v>
      </c>
    </row>
    <row r="274" spans="2:15">
      <c r="B274" s="1385">
        <v>40756</v>
      </c>
      <c r="C274" s="1386">
        <v>465.96800000000002</v>
      </c>
      <c r="D274" s="1386">
        <v>3337.16</v>
      </c>
      <c r="E274" s="1386">
        <v>1.0107406292787873</v>
      </c>
      <c r="F274" s="1386">
        <v>27.254289571849853</v>
      </c>
      <c r="K274" s="1466">
        <v>42331</v>
      </c>
      <c r="L274" s="1467" t="s">
        <v>2127</v>
      </c>
      <c r="M274" s="1468">
        <v>5.2531000000000001E-2</v>
      </c>
      <c r="N274" s="1469">
        <v>1.0973637098260292</v>
      </c>
      <c r="O274" s="1469">
        <v>1.0973637098260292</v>
      </c>
    </row>
    <row r="275" spans="2:15">
      <c r="B275" s="1385">
        <v>40787</v>
      </c>
      <c r="C275" s="1386">
        <v>468.97500000000002</v>
      </c>
      <c r="D275" s="1386">
        <v>3354.85</v>
      </c>
      <c r="E275" s="1386">
        <v>1.00941760689889</v>
      </c>
      <c r="F275" s="1386">
        <v>27.510959757346054</v>
      </c>
      <c r="K275" s="1466">
        <v>42332</v>
      </c>
      <c r="L275" s="1467" t="s">
        <v>2127</v>
      </c>
      <c r="M275" s="1468">
        <v>5.2531000000000001E-2</v>
      </c>
      <c r="N275" s="1469">
        <v>1.0979401659564378</v>
      </c>
      <c r="O275" s="1469">
        <v>1.0979401659564378</v>
      </c>
    </row>
    <row r="276" spans="2:15">
      <c r="B276" s="1385">
        <v>40817</v>
      </c>
      <c r="C276" s="1386">
        <v>471.46600000000001</v>
      </c>
      <c r="D276" s="1386">
        <v>3369.28</v>
      </c>
      <c r="E276" s="1386">
        <v>1.0088195463919019</v>
      </c>
      <c r="F276" s="1386">
        <v>27.753593943211712</v>
      </c>
      <c r="K276" s="1466">
        <v>42333</v>
      </c>
      <c r="L276" s="1467" t="s">
        <v>2127</v>
      </c>
      <c r="M276" s="1468">
        <v>5.2531000000000001E-2</v>
      </c>
      <c r="N276" s="1469">
        <v>1.0985169249050164</v>
      </c>
      <c r="O276" s="1469">
        <v>1.0985169249050164</v>
      </c>
    </row>
    <row r="277" spans="2:15">
      <c r="B277" s="1385">
        <v>40848</v>
      </c>
      <c r="C277" s="1386">
        <v>473.80799999999999</v>
      </c>
      <c r="D277" s="1386">
        <v>3386.8</v>
      </c>
      <c r="E277" s="1386">
        <v>1.0086047745492386</v>
      </c>
      <c r="F277" s="1386">
        <v>27.992407362024164</v>
      </c>
      <c r="K277" s="1466">
        <v>42334</v>
      </c>
      <c r="L277" s="1467" t="s">
        <v>2127</v>
      </c>
      <c r="M277" s="1468">
        <v>5.2531000000000001E-2</v>
      </c>
      <c r="N277" s="1469">
        <v>1.0990939868308383</v>
      </c>
      <c r="O277" s="1469">
        <v>1.0990939868308383</v>
      </c>
    </row>
    <row r="278" spans="2:15">
      <c r="B278" s="1385">
        <v>40878</v>
      </c>
      <c r="C278" s="1386">
        <v>473.25200000000001</v>
      </c>
      <c r="D278" s="1386">
        <v>3403.73</v>
      </c>
      <c r="E278" s="1386">
        <v>1.0090732804800764</v>
      </c>
      <c r="F278" s="1386">
        <v>28.246390325332364</v>
      </c>
      <c r="K278" s="1466">
        <v>42335</v>
      </c>
      <c r="L278" s="1467" t="s">
        <v>2127</v>
      </c>
      <c r="M278" s="1468">
        <v>5.2531000000000001E-2</v>
      </c>
      <c r="N278" s="1469">
        <v>1.0996713518930603</v>
      </c>
      <c r="O278" s="1469">
        <v>1.0996713518930603</v>
      </c>
    </row>
    <row r="279" spans="2:15">
      <c r="B279" s="1385">
        <v>40909</v>
      </c>
      <c r="C279" s="1386">
        <v>474.42899999999997</v>
      </c>
      <c r="D279" s="1386">
        <v>3422.79</v>
      </c>
      <c r="E279" s="1386">
        <v>1.0089101617717657</v>
      </c>
      <c r="F279" s="1386">
        <v>28.498070232599513</v>
      </c>
      <c r="K279" s="1466">
        <v>42336</v>
      </c>
      <c r="L279" s="1467"/>
      <c r="M279" s="1468">
        <v>0</v>
      </c>
      <c r="N279" s="1469">
        <v>1.0996713518930603</v>
      </c>
      <c r="O279" s="1469">
        <v>1.0996713518930603</v>
      </c>
    </row>
    <row r="280" spans="2:15">
      <c r="B280" s="1385">
        <v>40940</v>
      </c>
      <c r="C280" s="1386">
        <v>474.13799999999998</v>
      </c>
      <c r="D280" s="1386">
        <v>3438.19</v>
      </c>
      <c r="E280" s="1386">
        <v>1.0074877292470876</v>
      </c>
      <c r="F280" s="1386">
        <v>28.711456066565706</v>
      </c>
      <c r="K280" s="1466">
        <v>42337</v>
      </c>
      <c r="L280" s="1467"/>
      <c r="M280" s="1468">
        <v>0</v>
      </c>
      <c r="N280" s="1469">
        <v>1.0996713518930603</v>
      </c>
      <c r="O280" s="1469">
        <v>1.0996713518930603</v>
      </c>
    </row>
    <row r="281" spans="2:15">
      <c r="B281" s="1385">
        <v>40969</v>
      </c>
      <c r="C281" s="1386">
        <v>476.166</v>
      </c>
      <c r="D281" s="1386">
        <v>3445.41</v>
      </c>
      <c r="E281" s="1386">
        <v>1.0082113884808406</v>
      </c>
      <c r="F281" s="1386">
        <v>28.947216986178862</v>
      </c>
      <c r="K281" s="1466">
        <v>42338</v>
      </c>
      <c r="L281" s="1467" t="s">
        <v>2127</v>
      </c>
      <c r="M281" s="1468">
        <v>5.2531000000000001E-2</v>
      </c>
      <c r="N281" s="1469">
        <v>1.1002490202509232</v>
      </c>
      <c r="O281" s="1469">
        <v>1.1002490202509232</v>
      </c>
    </row>
    <row r="282" spans="2:15">
      <c r="B282" s="1385">
        <v>41000</v>
      </c>
      <c r="C282" s="1386">
        <v>480.22899999999998</v>
      </c>
      <c r="D282" s="1386">
        <v>3467.46</v>
      </c>
      <c r="E282" s="1386">
        <v>1.0071187588624242</v>
      </c>
      <c r="F282" s="1386">
        <v>29.15328524364174</v>
      </c>
      <c r="K282" s="1466">
        <v>42339</v>
      </c>
      <c r="L282" s="1467" t="s">
        <v>2127</v>
      </c>
      <c r="M282" s="1468">
        <v>5.2531000000000001E-2</v>
      </c>
      <c r="N282" s="1469">
        <v>1.1008269920637512</v>
      </c>
      <c r="O282" s="1469">
        <v>1.1008269920637512</v>
      </c>
    </row>
    <row r="283" spans="2:15">
      <c r="B283" s="1385">
        <v>41030</v>
      </c>
      <c r="C283" s="1386">
        <v>485.14</v>
      </c>
      <c r="D283" s="1386">
        <v>3479.94</v>
      </c>
      <c r="E283" s="1386">
        <v>1.007447242329657</v>
      </c>
      <c r="F283" s="1386">
        <v>29.370396823556753</v>
      </c>
      <c r="G283" s="11"/>
      <c r="K283" s="1466">
        <v>42340</v>
      </c>
      <c r="L283" s="1467" t="s">
        <v>2127</v>
      </c>
      <c r="M283" s="1468">
        <v>5.2531000000000001E-2</v>
      </c>
      <c r="N283" s="1469">
        <v>1.1014052674909522</v>
      </c>
      <c r="O283" s="1469">
        <v>1.1014052674909522</v>
      </c>
    </row>
    <row r="284" spans="2:15">
      <c r="B284" s="1385">
        <v>41061</v>
      </c>
      <c r="C284" s="1386">
        <v>488.34199999999998</v>
      </c>
      <c r="D284" s="1386">
        <v>3482.72</v>
      </c>
      <c r="E284" s="1386">
        <v>1.0064150263426446</v>
      </c>
      <c r="F284" s="1386">
        <v>29.558808692873793</v>
      </c>
      <c r="K284" s="1466">
        <v>42341</v>
      </c>
      <c r="L284" s="1467" t="s">
        <v>2127</v>
      </c>
      <c r="M284" s="1468">
        <v>5.2531000000000001E-2</v>
      </c>
      <c r="N284" s="1469">
        <v>1.101983846692018</v>
      </c>
      <c r="O284" s="1469">
        <v>1.101983846692018</v>
      </c>
    </row>
    <row r="285" spans="2:15">
      <c r="B285" s="1385">
        <v>41091</v>
      </c>
      <c r="C285" s="1386">
        <v>494.89100000000002</v>
      </c>
      <c r="D285" s="1386">
        <v>3497.7</v>
      </c>
      <c r="E285" s="1386">
        <v>1.0067996486835762</v>
      </c>
      <c r="F285" s="1386">
        <v>29.759798207490373</v>
      </c>
      <c r="K285" s="1466">
        <v>42342</v>
      </c>
      <c r="L285" s="1467" t="s">
        <v>2127</v>
      </c>
      <c r="M285" s="1468">
        <v>5.2531000000000001E-2</v>
      </c>
      <c r="N285" s="1469">
        <v>1.1025627298265237</v>
      </c>
      <c r="O285" s="1469">
        <v>1.1025627298265237</v>
      </c>
    </row>
    <row r="286" spans="2:15">
      <c r="B286" s="1385">
        <v>41122</v>
      </c>
      <c r="C286" s="1386">
        <v>501.95699999999999</v>
      </c>
      <c r="D286" s="1386">
        <v>3512.04</v>
      </c>
      <c r="E286" s="1386">
        <v>1.0069181066014252</v>
      </c>
      <c r="F286" s="1386">
        <v>29.965679663926696</v>
      </c>
      <c r="K286" s="1466">
        <v>42343</v>
      </c>
      <c r="L286" s="1467"/>
      <c r="M286" s="1468">
        <v>0</v>
      </c>
      <c r="N286" s="1469">
        <v>1.1025627298265237</v>
      </c>
      <c r="O286" s="1469">
        <v>1.1025627298265237</v>
      </c>
    </row>
    <row r="287" spans="2:15">
      <c r="B287" s="1385">
        <v>41153</v>
      </c>
      <c r="C287" s="1386">
        <v>506.80399999999997</v>
      </c>
      <c r="D287" s="1386">
        <v>3532.06</v>
      </c>
      <c r="E287" s="1386">
        <v>1.0053899533259578</v>
      </c>
      <c r="F287" s="1386">
        <v>30.127193278695866</v>
      </c>
      <c r="K287" s="1466">
        <v>42344</v>
      </c>
      <c r="L287" s="1467"/>
      <c r="M287" s="1468">
        <v>0</v>
      </c>
      <c r="N287" s="1469">
        <v>1.1025627298265237</v>
      </c>
      <c r="O287" s="1469">
        <v>1.1025627298265237</v>
      </c>
    </row>
    <row r="288" spans="2:15">
      <c r="B288" s="1385">
        <v>41183</v>
      </c>
      <c r="C288" s="1386">
        <v>506.92599999999999</v>
      </c>
      <c r="D288" s="1386">
        <v>3552.9</v>
      </c>
      <c r="E288" s="1386">
        <v>1.0061133864051108</v>
      </c>
      <c r="F288" s="1386">
        <v>30.311372452509993</v>
      </c>
      <c r="K288" s="1466">
        <v>42345</v>
      </c>
      <c r="L288" s="1467" t="s">
        <v>2127</v>
      </c>
      <c r="M288" s="1468">
        <v>5.2531000000000001E-2</v>
      </c>
      <c r="N288" s="1469">
        <v>1.1031419170541288</v>
      </c>
      <c r="O288" s="1469">
        <v>1.1031419170541288</v>
      </c>
    </row>
    <row r="289" spans="2:15">
      <c r="B289" s="1385">
        <v>41214</v>
      </c>
      <c r="C289" s="1386">
        <v>506.79500000000002</v>
      </c>
      <c r="D289" s="1386">
        <v>3574.22</v>
      </c>
      <c r="E289" s="1386">
        <v>1.0054884576647556</v>
      </c>
      <c r="F289" s="1386">
        <v>30.477735136976232</v>
      </c>
      <c r="K289" s="1466">
        <v>42346</v>
      </c>
      <c r="L289" s="1467" t="s">
        <v>2127</v>
      </c>
      <c r="M289" s="1468">
        <v>5.2531000000000001E-2</v>
      </c>
      <c r="N289" s="1469">
        <v>1.1037214085345766</v>
      </c>
      <c r="O289" s="1469">
        <v>1.1037214085345766</v>
      </c>
    </row>
    <row r="290" spans="2:15">
      <c r="B290" s="1385">
        <v>41244</v>
      </c>
      <c r="C290" s="1386">
        <v>510.25200000000001</v>
      </c>
      <c r="D290" s="1386">
        <v>3602.46</v>
      </c>
      <c r="E290" s="1386">
        <v>1.0055015154231364</v>
      </c>
      <c r="F290" s="1386">
        <v>30.645408866894574</v>
      </c>
      <c r="K290" s="1466">
        <v>42347</v>
      </c>
      <c r="L290" s="1467" t="s">
        <v>2127</v>
      </c>
      <c r="M290" s="1468">
        <v>5.2531000000000001E-2</v>
      </c>
      <c r="N290" s="1469">
        <v>1.1043012044276939</v>
      </c>
      <c r="O290" s="1469">
        <v>1.1043012044276939</v>
      </c>
    </row>
    <row r="291" spans="2:15">
      <c r="B291" s="1385">
        <v>41275</v>
      </c>
      <c r="C291" s="1386">
        <v>511.97699999999998</v>
      </c>
      <c r="D291" s="1386">
        <v>3633.44</v>
      </c>
      <c r="E291" s="1386">
        <v>1.0060143970219473</v>
      </c>
      <c r="F291" s="1386">
        <v>30.82972252271998</v>
      </c>
      <c r="K291" s="1466">
        <v>42348</v>
      </c>
      <c r="L291" s="1467" t="s">
        <v>2127</v>
      </c>
      <c r="M291" s="1468">
        <v>5.2531000000000001E-2</v>
      </c>
      <c r="N291" s="1469">
        <v>1.1048813048933919</v>
      </c>
      <c r="O291" s="1469">
        <v>1.1048813048933919</v>
      </c>
    </row>
    <row r="292" spans="2:15">
      <c r="B292" s="1385">
        <v>41306</v>
      </c>
      <c r="C292" s="1386">
        <v>513.46699999999998</v>
      </c>
      <c r="D292" s="1386">
        <v>3655.24</v>
      </c>
      <c r="E292" s="1386">
        <v>1.0049274991744226</v>
      </c>
      <c r="F292" s="1386">
        <v>30.98163595499836</v>
      </c>
      <c r="K292" s="1466">
        <v>42349</v>
      </c>
      <c r="L292" s="1467" t="s">
        <v>2127</v>
      </c>
      <c r="M292" s="1468">
        <v>5.2531000000000001E-2</v>
      </c>
      <c r="N292" s="1469">
        <v>1.1054617100916655</v>
      </c>
      <c r="O292" s="1469">
        <v>1.1054617100916655</v>
      </c>
    </row>
    <row r="293" spans="2:15">
      <c r="B293" s="1385">
        <v>41334</v>
      </c>
      <c r="C293" s="1386">
        <v>514.52599999999995</v>
      </c>
      <c r="D293" s="1386">
        <v>3672.42</v>
      </c>
      <c r="E293" s="1386">
        <v>1.0054940366101026</v>
      </c>
      <c r="F293" s="1386">
        <v>31.151850197175992</v>
      </c>
      <c r="K293" s="1466">
        <v>42350</v>
      </c>
      <c r="L293" s="1467"/>
      <c r="M293" s="1468">
        <v>0</v>
      </c>
      <c r="N293" s="1469">
        <v>1.1054617100916655</v>
      </c>
      <c r="O293" s="1469">
        <v>1.1054617100916655</v>
      </c>
    </row>
    <row r="294" spans="2:15">
      <c r="B294" s="1385">
        <v>41365</v>
      </c>
      <c r="C294" s="1386">
        <v>515.27599999999995</v>
      </c>
      <c r="D294" s="1386">
        <v>3692.62</v>
      </c>
      <c r="E294" s="1386">
        <v>1.0061364605097283</v>
      </c>
      <c r="F294" s="1386">
        <v>31.343012295715933</v>
      </c>
      <c r="K294" s="1466">
        <v>42351</v>
      </c>
      <c r="L294" s="1467"/>
      <c r="M294" s="1468">
        <v>0</v>
      </c>
      <c r="N294" s="1469">
        <v>1.1054617100916655</v>
      </c>
      <c r="O294" s="1469">
        <v>1.1054617100916655</v>
      </c>
    </row>
    <row r="295" spans="2:15">
      <c r="B295" s="1385">
        <v>41395</v>
      </c>
      <c r="C295" s="1386">
        <v>515.29899999999998</v>
      </c>
      <c r="D295" s="1386">
        <v>3706.28</v>
      </c>
      <c r="E295" s="1386">
        <v>1.0059853629993882</v>
      </c>
      <c r="F295" s="1386">
        <v>31.530611601800082</v>
      </c>
      <c r="K295" s="1466">
        <v>42352</v>
      </c>
      <c r="L295" s="1467" t="s">
        <v>2127</v>
      </c>
      <c r="M295" s="1468">
        <v>5.2531000000000001E-2</v>
      </c>
      <c r="N295" s="1469">
        <v>1.1060424201825938</v>
      </c>
      <c r="O295" s="1469">
        <v>1.1060424201825938</v>
      </c>
    </row>
    <row r="296" spans="2:15">
      <c r="B296" s="1385">
        <v>41426</v>
      </c>
      <c r="C296" s="1386">
        <v>519.15300000000002</v>
      </c>
      <c r="D296" s="1386">
        <v>3715.92</v>
      </c>
      <c r="E296" s="1386">
        <v>1.0060527337434972</v>
      </c>
      <c r="F296" s="1386">
        <v>31.721457998595405</v>
      </c>
      <c r="G296" s="66"/>
      <c r="K296" s="1466">
        <v>42353</v>
      </c>
      <c r="L296" s="1467" t="s">
        <v>2127</v>
      </c>
      <c r="M296" s="1468">
        <v>5.2531000000000001E-2</v>
      </c>
      <c r="N296" s="1469">
        <v>1.10662343532634</v>
      </c>
      <c r="O296" s="1469">
        <v>1.10662343532634</v>
      </c>
    </row>
    <row r="297" spans="2:15">
      <c r="B297" s="1385">
        <v>41456</v>
      </c>
      <c r="C297" s="1386">
        <v>520.50800000000004</v>
      </c>
      <c r="D297" s="1386">
        <v>3717.03</v>
      </c>
      <c r="E297" s="1386">
        <v>1.0072409169740031</v>
      </c>
      <c r="F297" s="1386">
        <v>31.951150442257561</v>
      </c>
      <c r="K297" s="1466">
        <v>42354</v>
      </c>
      <c r="L297" s="1467" t="s">
        <v>2127</v>
      </c>
      <c r="M297" s="1468">
        <v>5.2531000000000001E-2</v>
      </c>
      <c r="N297" s="1469">
        <v>1.1072047556831512</v>
      </c>
      <c r="O297" s="1469">
        <v>1.1072047556831512</v>
      </c>
    </row>
    <row r="298" spans="2:15">
      <c r="B298" s="1385">
        <v>41487</v>
      </c>
      <c r="C298" s="1386">
        <v>521.27</v>
      </c>
      <c r="D298" s="1386">
        <v>3725.95</v>
      </c>
      <c r="E298" s="1386">
        <v>1.0071031495053051</v>
      </c>
      <c r="F298" s="1386">
        <v>32.178104240715413</v>
      </c>
      <c r="K298" s="1466">
        <v>42355</v>
      </c>
      <c r="L298" s="1467" t="s">
        <v>2127</v>
      </c>
      <c r="M298" s="1468">
        <v>5.2531000000000001E-2</v>
      </c>
      <c r="N298" s="1469">
        <v>1.1077863814133591</v>
      </c>
      <c r="O298" s="1469">
        <v>1.1077863814133591</v>
      </c>
    </row>
    <row r="299" spans="2:15">
      <c r="B299" s="1385">
        <v>41518</v>
      </c>
      <c r="C299" s="1386">
        <v>529.08500000000004</v>
      </c>
      <c r="D299" s="1386">
        <v>3738.99</v>
      </c>
      <c r="E299" s="1386">
        <v>1.0071302882501354</v>
      </c>
      <c r="F299" s="1386">
        <v>32.407543399294617</v>
      </c>
      <c r="K299" s="1466">
        <v>42356</v>
      </c>
      <c r="L299" s="1467" t="s">
        <v>2127</v>
      </c>
      <c r="M299" s="1468">
        <v>5.2531000000000001E-2</v>
      </c>
      <c r="N299" s="1469">
        <v>1.1083683126773793</v>
      </c>
      <c r="O299" s="1469">
        <v>1.1083683126773793</v>
      </c>
    </row>
    <row r="300" spans="2:15">
      <c r="B300" s="1385">
        <v>41548</v>
      </c>
      <c r="C300" s="1386">
        <v>533.62099999999998</v>
      </c>
      <c r="D300" s="1386">
        <v>3760.3</v>
      </c>
      <c r="E300" s="1386">
        <v>1.0081051023495244</v>
      </c>
      <c r="F300" s="1386">
        <v>32.670209855442558</v>
      </c>
      <c r="G300" s="67"/>
      <c r="K300" s="1466">
        <v>42357</v>
      </c>
      <c r="L300" s="1467"/>
      <c r="M300" s="1468">
        <v>0</v>
      </c>
      <c r="N300" s="1469">
        <v>1.1083683126773793</v>
      </c>
      <c r="O300" s="1469">
        <v>1.1083683126773793</v>
      </c>
    </row>
    <row r="301" spans="2:15">
      <c r="B301" s="1385">
        <v>41579</v>
      </c>
      <c r="C301" s="1386">
        <v>535.16800000000001</v>
      </c>
      <c r="D301" s="1386">
        <v>3780.61</v>
      </c>
      <c r="E301" s="1386">
        <v>1.0071920752752215</v>
      </c>
      <c r="F301" s="1386">
        <v>32.905176463980183</v>
      </c>
      <c r="G301" s="67"/>
      <c r="K301" s="1466">
        <v>42358</v>
      </c>
      <c r="L301" s="1467"/>
      <c r="M301" s="1468">
        <v>0</v>
      </c>
      <c r="N301" s="1469">
        <v>1.1083683126773793</v>
      </c>
      <c r="O301" s="1469">
        <v>1.1083683126773793</v>
      </c>
    </row>
    <row r="302" spans="2:15">
      <c r="B302" s="1385">
        <v>41609</v>
      </c>
      <c r="C302" s="1386">
        <v>538.37</v>
      </c>
      <c r="D302" s="1386">
        <v>3815.39</v>
      </c>
      <c r="E302" s="1386">
        <v>1.0078974581644051</v>
      </c>
      <c r="F302" s="1386">
        <v>33.165043718496833</v>
      </c>
      <c r="G302" s="66"/>
      <c r="K302" s="1466">
        <v>42359</v>
      </c>
      <c r="L302" s="1467" t="s">
        <v>2127</v>
      </c>
      <c r="M302" s="1468">
        <v>5.2531000000000001E-2</v>
      </c>
      <c r="N302" s="1469">
        <v>1.1089505496357119</v>
      </c>
      <c r="O302" s="1469">
        <v>1.1089505496357119</v>
      </c>
    </row>
    <row r="303" spans="2:15">
      <c r="B303" s="1385">
        <v>41640</v>
      </c>
      <c r="C303" s="1386">
        <v>540.95899999999995</v>
      </c>
      <c r="D303" s="1386">
        <v>3836.38</v>
      </c>
      <c r="E303" s="1386">
        <v>1.0084934395272054</v>
      </c>
      <c r="F303" s="1386">
        <v>33.446729011737006</v>
      </c>
      <c r="K303" s="1466">
        <v>42360</v>
      </c>
      <c r="L303" s="1467" t="s">
        <v>2127</v>
      </c>
      <c r="M303" s="1468">
        <v>5.2531000000000001E-2</v>
      </c>
      <c r="N303" s="1469">
        <v>1.109533092448941</v>
      </c>
      <c r="O303" s="1469">
        <v>1.109533092448941</v>
      </c>
    </row>
    <row r="304" spans="2:15">
      <c r="B304" s="1385">
        <v>41671</v>
      </c>
      <c r="C304" s="1386">
        <v>543.03800000000001</v>
      </c>
      <c r="D304" s="1386">
        <v>3862.84</v>
      </c>
      <c r="E304" s="1386">
        <v>1.007901464239193</v>
      </c>
      <c r="F304" s="1386">
        <v>33.711007144941227</v>
      </c>
      <c r="K304" s="1466">
        <v>42361</v>
      </c>
      <c r="L304" s="1467" t="s">
        <v>2127</v>
      </c>
      <c r="M304" s="1468">
        <v>5.2531000000000001E-2</v>
      </c>
      <c r="N304" s="1469">
        <v>1.1101159412777355</v>
      </c>
      <c r="O304" s="1469">
        <v>1.1101159412777355</v>
      </c>
    </row>
    <row r="305" spans="2:15">
      <c r="B305" s="1385">
        <v>41699</v>
      </c>
      <c r="C305" s="1386">
        <v>552.08699999999999</v>
      </c>
      <c r="D305" s="1386">
        <v>3898.38</v>
      </c>
      <c r="E305" s="1386">
        <v>1.0076595732083427</v>
      </c>
      <c r="F305" s="1386">
        <v>33.969219072094866</v>
      </c>
      <c r="K305" s="1466">
        <v>42362</v>
      </c>
      <c r="L305" s="1467" t="s">
        <v>2127</v>
      </c>
      <c r="M305" s="1468">
        <v>5.2531000000000001E-2</v>
      </c>
      <c r="N305" s="1469">
        <v>1.110699096282848</v>
      </c>
      <c r="O305" s="1469">
        <v>1.110699096282848</v>
      </c>
    </row>
    <row r="306" spans="2:15">
      <c r="B306" s="1385">
        <v>41730</v>
      </c>
      <c r="C306" s="1386">
        <v>556.41999999999996</v>
      </c>
      <c r="D306" s="1386">
        <v>3924.5</v>
      </c>
      <c r="E306" s="1386">
        <v>1.0082266762081393</v>
      </c>
      <c r="F306" s="1386">
        <v>34.248672838444342</v>
      </c>
      <c r="K306" s="1466">
        <v>42363</v>
      </c>
      <c r="L306" s="1467"/>
      <c r="M306" s="1468">
        <v>0</v>
      </c>
      <c r="N306" s="1469">
        <v>1.110699096282848</v>
      </c>
      <c r="O306" s="1469">
        <v>1.110699096282848</v>
      </c>
    </row>
    <row r="307" spans="2:15">
      <c r="B307" s="1385">
        <v>41760</v>
      </c>
      <c r="C307" s="1386">
        <v>555.67899999999997</v>
      </c>
      <c r="D307" s="1386">
        <v>3942.55</v>
      </c>
      <c r="E307" s="1386">
        <v>1.0086587318278823</v>
      </c>
      <c r="F307" s="1386">
        <v>34.545222912013308</v>
      </c>
      <c r="K307" s="1466">
        <v>42364</v>
      </c>
      <c r="L307" s="1467"/>
      <c r="M307" s="1468">
        <v>0</v>
      </c>
      <c r="N307" s="1469">
        <v>1.110699096282848</v>
      </c>
      <c r="O307" s="1469">
        <v>1.110699096282848</v>
      </c>
    </row>
    <row r="308" spans="2:15">
      <c r="B308" s="1385">
        <v>41791</v>
      </c>
      <c r="C308" s="1386">
        <v>551.55399999999997</v>
      </c>
      <c r="D308" s="1386">
        <v>3958.32</v>
      </c>
      <c r="E308" s="1386">
        <v>1.0082447163000285</v>
      </c>
      <c r="F308" s="1386">
        <v>34.830038474444102</v>
      </c>
      <c r="K308" s="1466">
        <v>42365</v>
      </c>
      <c r="L308" s="1467"/>
      <c r="M308" s="1468">
        <v>0</v>
      </c>
      <c r="N308" s="1469">
        <v>1.110699096282848</v>
      </c>
      <c r="O308" s="1469">
        <v>1.110699096282848</v>
      </c>
    </row>
    <row r="309" spans="2:15">
      <c r="B309" s="1385">
        <v>41821</v>
      </c>
      <c r="C309" s="1386">
        <v>548.202</v>
      </c>
      <c r="D309" s="1386">
        <v>3958.72</v>
      </c>
      <c r="E309" s="1386">
        <v>1.0094872729749897</v>
      </c>
      <c r="F309" s="1386">
        <v>35.160480557180549</v>
      </c>
      <c r="K309" s="1466">
        <v>42366</v>
      </c>
      <c r="L309" s="1467" t="s">
        <v>2127</v>
      </c>
      <c r="M309" s="1468">
        <v>5.2531000000000001E-2</v>
      </c>
      <c r="N309" s="1469">
        <v>1.1112825576251164</v>
      </c>
      <c r="O309" s="1469">
        <v>1.1112825576251164</v>
      </c>
    </row>
    <row r="310" spans="2:15">
      <c r="B310" s="1385">
        <v>41852</v>
      </c>
      <c r="C310" s="1386">
        <v>546.745</v>
      </c>
      <c r="D310" s="1386">
        <v>3968.62</v>
      </c>
      <c r="E310" s="1386">
        <v>1.0086598207325679</v>
      </c>
      <c r="F310" s="1386">
        <v>35.464964015676671</v>
      </c>
      <c r="K310" s="1466">
        <v>42367</v>
      </c>
      <c r="L310" s="1467" t="s">
        <v>2127</v>
      </c>
      <c r="M310" s="1468">
        <v>5.2531000000000001E-2</v>
      </c>
      <c r="N310" s="1469">
        <v>1.1118663254654624</v>
      </c>
      <c r="O310" s="1469">
        <v>1.1118663254654624</v>
      </c>
    </row>
    <row r="311" spans="2:15">
      <c r="B311" s="1385">
        <v>41883</v>
      </c>
      <c r="C311" s="1386">
        <v>547.83900000000006</v>
      </c>
      <c r="D311" s="1386">
        <v>3991.24</v>
      </c>
      <c r="E311" s="1386">
        <v>1.0090729173629331</v>
      </c>
      <c r="F311" s="1386">
        <v>35.786734703470302</v>
      </c>
      <c r="K311" s="1466">
        <v>42368</v>
      </c>
      <c r="L311" s="1467" t="s">
        <v>2127</v>
      </c>
      <c r="M311" s="1468">
        <v>5.2531000000000001E-2</v>
      </c>
      <c r="N311" s="1469">
        <v>1.1124503999648927</v>
      </c>
      <c r="O311" s="1469">
        <v>1.1124503999648927</v>
      </c>
    </row>
    <row r="312" spans="2:15">
      <c r="B312" s="1385">
        <v>41913</v>
      </c>
      <c r="C312" s="1386">
        <v>549.39599999999996</v>
      </c>
      <c r="D312" s="1386">
        <v>4008</v>
      </c>
      <c r="E312" s="1386">
        <v>1.009505315279368</v>
      </c>
      <c r="F312" s="1386">
        <v>36.126898899645887</v>
      </c>
      <c r="K312" s="1466">
        <v>42369</v>
      </c>
      <c r="L312" s="1467" t="s">
        <v>2127</v>
      </c>
      <c r="M312" s="1468">
        <v>5.2531000000000001E-2</v>
      </c>
      <c r="N312" s="1469">
        <v>1.1130347812844983</v>
      </c>
      <c r="O312" s="1469">
        <v>1.1130347812844983</v>
      </c>
    </row>
    <row r="313" spans="2:15">
      <c r="B313" s="1385">
        <v>41944</v>
      </c>
      <c r="C313" s="1386">
        <v>554.76900000000001</v>
      </c>
      <c r="D313" s="1386">
        <v>4028.44</v>
      </c>
      <c r="E313" s="1386">
        <v>1.0084249317586502</v>
      </c>
      <c r="F313" s="1386">
        <v>36.431265557527063</v>
      </c>
      <c r="K313" s="1466">
        <v>42370</v>
      </c>
      <c r="L313" s="1467"/>
      <c r="M313" s="1468">
        <v>0</v>
      </c>
      <c r="N313" s="1469">
        <v>1.1130347812844983</v>
      </c>
      <c r="O313" s="1469">
        <v>1.1130347812844983</v>
      </c>
    </row>
    <row r="314" spans="2:15">
      <c r="B314" s="1385">
        <v>41974</v>
      </c>
      <c r="C314" s="1386">
        <v>558.21299999999997</v>
      </c>
      <c r="D314" s="1386">
        <v>4059.86</v>
      </c>
      <c r="E314" s="1386">
        <v>1.0096129495106978</v>
      </c>
      <c r="F314" s="1386">
        <v>36.781477473942395</v>
      </c>
      <c r="K314" s="1466">
        <v>42371</v>
      </c>
      <c r="L314" s="1467"/>
      <c r="M314" s="1468">
        <v>0</v>
      </c>
      <c r="N314" s="1469">
        <v>1.1130347812844983</v>
      </c>
      <c r="O314" s="1469">
        <v>1.1130347812844983</v>
      </c>
    </row>
    <row r="315" spans="2:15">
      <c r="B315" s="1385">
        <v>42005</v>
      </c>
      <c r="C315" s="1386">
        <v>562.48199999999997</v>
      </c>
      <c r="D315" s="1386">
        <v>4110.2</v>
      </c>
      <c r="E315" s="1386">
        <v>1.0093507541041149</v>
      </c>
      <c r="F315" s="1386">
        <v>37.12541202538727</v>
      </c>
      <c r="K315" s="1466">
        <v>42372</v>
      </c>
      <c r="L315" s="1467"/>
      <c r="M315" s="1468">
        <v>0</v>
      </c>
      <c r="N315" s="1469">
        <v>1.1130347812844983</v>
      </c>
      <c r="O315" s="1469">
        <v>1.1130347812844983</v>
      </c>
    </row>
    <row r="316" spans="2:15">
      <c r="B316" s="1385">
        <v>42036</v>
      </c>
      <c r="C316" s="1386">
        <v>564.00400000000002</v>
      </c>
      <c r="D316" s="1386">
        <v>4160.34</v>
      </c>
      <c r="E316" s="1386">
        <v>1.0082241099890967</v>
      </c>
      <c r="F316" s="1386">
        <v>37.43073549727459</v>
      </c>
      <c r="K316" s="1466">
        <v>42373</v>
      </c>
      <c r="L316" s="1467" t="s">
        <v>2127</v>
      </c>
      <c r="M316" s="1468">
        <v>5.2531000000000001E-2</v>
      </c>
      <c r="N316" s="1469">
        <v>1.1136194695854549</v>
      </c>
      <c r="O316" s="1469">
        <v>1.1136194695854549</v>
      </c>
    </row>
    <row r="317" spans="2:15">
      <c r="B317" s="1385">
        <v>42064</v>
      </c>
      <c r="C317" s="1386">
        <v>569.53599999999994</v>
      </c>
      <c r="D317" s="1386">
        <v>4215.26</v>
      </c>
      <c r="E317" s="1386">
        <v>1.0103996710699541</v>
      </c>
      <c r="F317" s="1386">
        <v>37.820002834352699</v>
      </c>
      <c r="K317" s="1466">
        <v>42374</v>
      </c>
      <c r="L317" s="1467" t="s">
        <v>2127</v>
      </c>
      <c r="M317" s="1468">
        <v>5.2531000000000001E-2</v>
      </c>
      <c r="N317" s="1469">
        <v>1.1142044650290228</v>
      </c>
      <c r="O317" s="1469">
        <v>1.1142044650290228</v>
      </c>
    </row>
    <row r="318" spans="2:15">
      <c r="B318" s="1385">
        <v>42095</v>
      </c>
      <c r="C318" s="1386">
        <v>576.17499999999995</v>
      </c>
      <c r="D318" s="1386">
        <v>4245.1899999999996</v>
      </c>
      <c r="E318" s="1386">
        <v>1.0095179160892187</v>
      </c>
      <c r="F318" s="1386">
        <v>38.179970447824083</v>
      </c>
      <c r="K318" s="1466">
        <v>42375</v>
      </c>
      <c r="L318" s="1467" t="s">
        <v>2127</v>
      </c>
      <c r="M318" s="1468">
        <v>5.2531000000000001E-2</v>
      </c>
      <c r="N318" s="1469">
        <v>1.1147897677765473</v>
      </c>
      <c r="O318" s="1469">
        <v>1.1147897677765473</v>
      </c>
    </row>
    <row r="319" spans="2:15">
      <c r="B319" s="1385">
        <v>42125</v>
      </c>
      <c r="C319" s="1386">
        <v>578.51599999999996</v>
      </c>
      <c r="D319" s="1386">
        <v>4276.6000000000004</v>
      </c>
      <c r="E319" s="1386">
        <v>1.0098532226245138</v>
      </c>
      <c r="F319" s="1386">
        <v>38.556166196443854</v>
      </c>
      <c r="K319" s="1466">
        <v>42376</v>
      </c>
      <c r="L319" s="1467" t="s">
        <v>2127</v>
      </c>
      <c r="M319" s="1468">
        <v>5.2531000000000001E-2</v>
      </c>
      <c r="N319" s="1469">
        <v>1.115375377989458</v>
      </c>
      <c r="O319" s="1469">
        <v>1.115375377989458</v>
      </c>
    </row>
    <row r="320" spans="2:15">
      <c r="B320" s="1385">
        <v>42156</v>
      </c>
      <c r="C320" s="1386">
        <v>582.40099999999995</v>
      </c>
      <c r="D320" s="1386">
        <v>4310.3900000000003</v>
      </c>
      <c r="E320" s="1386">
        <v>1.0106667572412273</v>
      </c>
      <c r="F320" s="1386">
        <v>38.967435461413736</v>
      </c>
      <c r="K320" s="1466">
        <v>42377</v>
      </c>
      <c r="L320" s="1467" t="s">
        <v>2127</v>
      </c>
      <c r="M320" s="1468">
        <v>5.2531000000000001E-2</v>
      </c>
      <c r="N320" s="1469">
        <v>1.1159612958292695</v>
      </c>
      <c r="O320" s="1469">
        <v>1.1159612958292695</v>
      </c>
    </row>
    <row r="321" spans="2:15">
      <c r="B321" s="1385">
        <v>42186</v>
      </c>
      <c r="C321" s="1386">
        <v>586.42600000000004</v>
      </c>
      <c r="D321" s="1386">
        <v>4337.1099999999997</v>
      </c>
      <c r="E321" s="1386">
        <v>1.0117819838421735</v>
      </c>
      <c r="F321" s="1386">
        <v>39.426549156391054</v>
      </c>
      <c r="K321" s="1466">
        <v>42378</v>
      </c>
      <c r="L321" s="1467"/>
      <c r="M321" s="1468">
        <v>0</v>
      </c>
      <c r="N321" s="1469">
        <v>1.1159612958292695</v>
      </c>
      <c r="O321" s="1469">
        <v>1.1159612958292695</v>
      </c>
    </row>
    <row r="322" spans="2:15">
      <c r="B322" s="1385">
        <v>42217</v>
      </c>
      <c r="C322" s="1386">
        <v>588.04200000000003</v>
      </c>
      <c r="D322" s="1386">
        <v>4346.6499999999996</v>
      </c>
      <c r="E322" s="1386">
        <v>1.0110896528780247</v>
      </c>
      <c r="F322" s="1386">
        <v>39.863775900713804</v>
      </c>
      <c r="K322" s="1466">
        <v>42379</v>
      </c>
      <c r="L322" s="1467"/>
      <c r="M322" s="1468">
        <v>0</v>
      </c>
      <c r="N322" s="1469">
        <v>1.1159612958292695</v>
      </c>
      <c r="O322" s="1469">
        <v>1.1159612958292695</v>
      </c>
    </row>
    <row r="323" spans="2:15">
      <c r="B323" s="1385">
        <v>42248</v>
      </c>
      <c r="C323" s="1386">
        <v>593.60599999999999</v>
      </c>
      <c r="D323" s="1386">
        <v>4370.12</v>
      </c>
      <c r="E323" s="1386">
        <v>1.0110896528780244</v>
      </c>
      <c r="F323" s="1386">
        <v>40.305851337860076</v>
      </c>
      <c r="K323" s="1466">
        <v>42380</v>
      </c>
      <c r="L323" s="1467" t="s">
        <v>2127</v>
      </c>
      <c r="M323" s="1468">
        <v>5.2531000000000001E-2</v>
      </c>
      <c r="N323" s="1469">
        <v>1.1165475214575815</v>
      </c>
      <c r="O323" s="1469">
        <v>1.1165475214575815</v>
      </c>
    </row>
    <row r="324" spans="2:15">
      <c r="B324" s="1385">
        <v>42278</v>
      </c>
      <c r="C324" s="1386">
        <v>604.83199999999999</v>
      </c>
      <c r="D324" s="1386">
        <v>4405.95</v>
      </c>
      <c r="E324" s="1386">
        <v>1.0110896528780242</v>
      </c>
      <c r="F324" s="1386">
        <v>40.752829238150191</v>
      </c>
      <c r="K324" s="1466">
        <v>42381</v>
      </c>
      <c r="L324" s="1467" t="s">
        <v>2127</v>
      </c>
      <c r="M324" s="1468">
        <v>5.2531000000000001E-2</v>
      </c>
      <c r="N324" s="1469">
        <v>1.1171340550360784</v>
      </c>
      <c r="O324" s="1469">
        <v>1.1171340550360784</v>
      </c>
    </row>
    <row r="325" spans="2:15">
      <c r="B325" s="1385">
        <v>42309</v>
      </c>
      <c r="C325" s="1386">
        <v>614.05100000000004</v>
      </c>
      <c r="D325" s="1386">
        <v>4450.45</v>
      </c>
      <c r="E325" s="1386">
        <v>1.0105587962367735</v>
      </c>
      <c r="F325" s="1386">
        <v>41.183130058147846</v>
      </c>
      <c r="K325" s="1466">
        <v>42382</v>
      </c>
      <c r="L325" s="1467" t="s">
        <v>2127</v>
      </c>
      <c r="M325" s="1468">
        <v>5.2531000000000001E-2</v>
      </c>
      <c r="N325" s="1469">
        <v>1.1177208967265295</v>
      </c>
      <c r="O325" s="1469">
        <v>1.1177208967265295</v>
      </c>
    </row>
    <row r="326" spans="2:15">
      <c r="B326" s="1385">
        <v>42339</v>
      </c>
      <c r="C326" s="1386">
        <v>617.04399999999998</v>
      </c>
      <c r="D326" s="1386">
        <v>4493.17</v>
      </c>
      <c r="E326" s="1386">
        <v>1.0116207883835777</v>
      </c>
      <c r="F326" s="1386">
        <v>41.66171049752694</v>
      </c>
      <c r="K326" s="1466">
        <v>42383</v>
      </c>
      <c r="L326" s="1467" t="s">
        <v>2127</v>
      </c>
      <c r="M326" s="1468">
        <v>5.2531000000000001E-2</v>
      </c>
      <c r="N326" s="1469">
        <v>1.1183080466907889</v>
      </c>
      <c r="O326" s="1469">
        <v>1.1183080466907889</v>
      </c>
    </row>
    <row r="327" spans="2:15">
      <c r="B327" s="1385">
        <v>42370</v>
      </c>
      <c r="C327" s="1386">
        <v>624.05999999999995</v>
      </c>
      <c r="D327" s="1386">
        <v>4550.2299999999996</v>
      </c>
      <c r="E327" s="1386">
        <v>1.0105587962367735</v>
      </c>
      <c r="F327" s="1386">
        <v>42.101608009545771</v>
      </c>
      <c r="K327" s="1466">
        <v>42384</v>
      </c>
      <c r="L327" s="1467" t="s">
        <v>2127</v>
      </c>
      <c r="M327" s="1468">
        <v>5.2531000000000001E-2</v>
      </c>
      <c r="N327" s="1469">
        <v>1.118895505090796</v>
      </c>
      <c r="O327" s="1469">
        <v>1.118895505090796</v>
      </c>
    </row>
    <row r="328" spans="2:15">
      <c r="B328" s="1385">
        <v>42401</v>
      </c>
      <c r="C328" s="1386">
        <v>632.11400000000003</v>
      </c>
      <c r="D328" s="1386">
        <v>4591.18</v>
      </c>
      <c r="E328" s="1386">
        <v>1.0100282183134115</v>
      </c>
      <c r="F328" s="1386">
        <v>42.523812126011173</v>
      </c>
      <c r="K328" s="1466">
        <v>42385</v>
      </c>
      <c r="L328" s="1467"/>
      <c r="M328" s="1468">
        <v>0</v>
      </c>
      <c r="N328" s="1469">
        <v>1.118895505090796</v>
      </c>
      <c r="O328" s="1469">
        <v>1.118895505090796</v>
      </c>
    </row>
    <row r="329" spans="2:15">
      <c r="B329" s="1385">
        <v>42430</v>
      </c>
      <c r="C329" s="1386">
        <v>635.34900000000005</v>
      </c>
      <c r="D329" s="1386">
        <v>4610.92</v>
      </c>
      <c r="E329" s="1386">
        <v>1.0116207883835779</v>
      </c>
      <c r="F329" s="1386">
        <v>43.017972347990572</v>
      </c>
      <c r="K329" s="1466">
        <v>42386</v>
      </c>
      <c r="L329" s="1467"/>
      <c r="M329" s="1468">
        <v>0</v>
      </c>
      <c r="N329" s="1469">
        <v>1.118895505090796</v>
      </c>
      <c r="O329" s="1469">
        <v>1.118895505090796</v>
      </c>
    </row>
    <row r="330" spans="2:15">
      <c r="B330" s="1385">
        <v>42461</v>
      </c>
      <c r="C330" s="1386">
        <v>637.43399999999997</v>
      </c>
      <c r="D330" s="1386">
        <v>4639.05</v>
      </c>
      <c r="E330" s="1386">
        <v>1.0105587962367735</v>
      </c>
      <c r="F330" s="1386">
        <v>43.472190352532159</v>
      </c>
      <c r="K330" s="1466">
        <v>42387</v>
      </c>
      <c r="L330" s="1467" t="s">
        <v>2127</v>
      </c>
      <c r="M330" s="1468">
        <v>5.2531000000000001E-2</v>
      </c>
      <c r="N330" s="1469">
        <v>1.1194832720885752</v>
      </c>
      <c r="O330" s="1469">
        <v>1.1194832720885752</v>
      </c>
    </row>
    <row r="331" spans="2:15">
      <c r="B331" s="1385">
        <v>42491</v>
      </c>
      <c r="C331" s="1386">
        <v>642.65099999999995</v>
      </c>
      <c r="D331" s="1386">
        <v>4675.2299999999996</v>
      </c>
      <c r="E331" s="1386">
        <v>1.0110896528780244</v>
      </c>
      <c r="F331" s="1386">
        <v>43.954281853389141</v>
      </c>
      <c r="K331" s="1466">
        <v>42388</v>
      </c>
      <c r="L331" s="1467" t="s">
        <v>2127</v>
      </c>
      <c r="M331" s="1468">
        <v>5.2531000000000001E-2</v>
      </c>
      <c r="N331" s="1469">
        <v>1.1200713478462361</v>
      </c>
      <c r="O331" s="1469">
        <v>1.1200713478462361</v>
      </c>
    </row>
    <row r="332" spans="2:15">
      <c r="B332" s="1385">
        <v>42522</v>
      </c>
      <c r="C332" s="1386">
        <v>653.49599999999998</v>
      </c>
      <c r="D332" s="1386">
        <v>4691.59</v>
      </c>
      <c r="E332" s="1386">
        <v>1.0116207883835777</v>
      </c>
      <c r="F332" s="1386">
        <v>44.465065261359506</v>
      </c>
      <c r="K332" s="1466">
        <v>42389</v>
      </c>
      <c r="L332" s="1467" t="s">
        <v>2127</v>
      </c>
      <c r="M332" s="1468">
        <v>5.2531000000000001E-2</v>
      </c>
      <c r="N332" s="1469">
        <v>1.1206597325259733</v>
      </c>
      <c r="O332" s="1469">
        <v>1.1206597325259733</v>
      </c>
    </row>
    <row r="333" spans="2:15">
      <c r="B333" s="1385">
        <v>42552</v>
      </c>
      <c r="C333" s="1386">
        <v>654.64099999999996</v>
      </c>
      <c r="D333" s="1386">
        <v>4715.99</v>
      </c>
      <c r="E333" s="1386">
        <v>1.0110896528780242</v>
      </c>
      <c r="F333" s="1386">
        <v>44.958167400306678</v>
      </c>
      <c r="K333" s="1466">
        <v>42390</v>
      </c>
      <c r="L333" s="1467" t="s">
        <v>2127</v>
      </c>
      <c r="M333" s="1468">
        <v>5.2531000000000001E-2</v>
      </c>
      <c r="N333" s="1469">
        <v>1.1212484262900666</v>
      </c>
      <c r="O333" s="1469">
        <v>1.1212484262900666</v>
      </c>
    </row>
    <row r="334" spans="2:15">
      <c r="B334" s="1385">
        <v>42583</v>
      </c>
      <c r="C334" s="1386">
        <v>655.60199999999998</v>
      </c>
      <c r="D334" s="1386">
        <v>4736.74</v>
      </c>
      <c r="E334" s="1386">
        <v>1.0121522028999232</v>
      </c>
      <c r="F334" s="1386">
        <v>45.504508172563916</v>
      </c>
      <c r="K334" s="1466">
        <v>42391</v>
      </c>
      <c r="L334" s="1467" t="s">
        <v>2127</v>
      </c>
      <c r="M334" s="1468">
        <v>5.2531000000000001E-2</v>
      </c>
      <c r="N334" s="1469">
        <v>1.121837429300881</v>
      </c>
      <c r="O334" s="1469">
        <v>1.121837429300881</v>
      </c>
    </row>
    <row r="335" spans="2:15">
      <c r="B335" s="1385">
        <v>42614</v>
      </c>
      <c r="C335" s="1386">
        <v>656.89400000000001</v>
      </c>
      <c r="D335" s="1386">
        <v>4740.53</v>
      </c>
      <c r="E335" s="1386">
        <v>1.0110896528780247</v>
      </c>
      <c r="F335" s="1386">
        <v>46.009137372582884</v>
      </c>
      <c r="K335" s="1466">
        <v>42392</v>
      </c>
      <c r="L335" s="1467"/>
      <c r="M335" s="1468">
        <v>0</v>
      </c>
      <c r="N335" s="1469">
        <v>1.121837429300881</v>
      </c>
      <c r="O335" s="1469">
        <v>1.121837429300881</v>
      </c>
    </row>
    <row r="336" spans="2:15">
      <c r="B336" s="1385">
        <v>42644</v>
      </c>
      <c r="C336" s="1386">
        <v>657.92700000000002</v>
      </c>
      <c r="D336" s="1386">
        <v>4752.8599999999997</v>
      </c>
      <c r="E336" s="1386">
        <v>1.0104884196148551</v>
      </c>
      <c r="F336" s="1386">
        <v>46.491700511464046</v>
      </c>
      <c r="K336" s="1466">
        <v>42393</v>
      </c>
      <c r="L336" s="1467"/>
      <c r="M336" s="1468">
        <v>0</v>
      </c>
      <c r="N336" s="1469">
        <v>1.121837429300881</v>
      </c>
      <c r="O336" s="1469">
        <v>1.121837429300881</v>
      </c>
    </row>
    <row r="337" spans="2:15">
      <c r="B337" s="1385">
        <v>42675</v>
      </c>
      <c r="C337" s="1386">
        <v>657.75199999999995</v>
      </c>
      <c r="D337" s="1386">
        <v>4761.42</v>
      </c>
      <c r="E337" s="1386">
        <v>1.0103828638714687</v>
      </c>
      <c r="F337" s="1386">
        <v>46.974417509027667</v>
      </c>
      <c r="K337" s="1466">
        <v>42394</v>
      </c>
      <c r="L337" s="1467" t="s">
        <v>2127</v>
      </c>
      <c r="M337" s="1468">
        <v>5.2531000000000001E-2</v>
      </c>
      <c r="N337" s="1469">
        <v>1.1224267417208671</v>
      </c>
      <c r="O337" s="1469">
        <v>1.1224267417208671</v>
      </c>
    </row>
    <row r="338" spans="2:15">
      <c r="B338" s="1385">
        <v>42705</v>
      </c>
      <c r="C338" s="1386">
        <v>661.30399999999997</v>
      </c>
      <c r="D338" s="1386">
        <v>4775.7</v>
      </c>
      <c r="E338" s="1386">
        <v>1.0112331468569866</v>
      </c>
      <c r="F338" s="1386">
        <v>47.502088039427981</v>
      </c>
      <c r="K338" s="1466">
        <v>42395</v>
      </c>
      <c r="L338" s="1467" t="s">
        <v>2127</v>
      </c>
      <c r="M338" s="1468">
        <v>5.2531000000000001E-2</v>
      </c>
      <c r="N338" s="1469">
        <v>1.1230163637125605</v>
      </c>
      <c r="O338" s="1469">
        <v>1.1230163637125605</v>
      </c>
    </row>
    <row r="339" spans="2:15">
      <c r="B339" s="1385">
        <v>42736</v>
      </c>
      <c r="C339" s="1386">
        <v>665.54200000000003</v>
      </c>
      <c r="D339" s="1386">
        <v>4793.8500000000004</v>
      </c>
      <c r="E339" s="1386">
        <v>1.0108612048503447</v>
      </c>
      <c r="F339" s="1386">
        <v>48.018017948443315</v>
      </c>
      <c r="K339" s="1466">
        <v>42396</v>
      </c>
      <c r="L339" s="1467" t="s">
        <v>2127</v>
      </c>
      <c r="M339" s="1468">
        <v>5.2531000000000001E-2</v>
      </c>
      <c r="N339" s="1469">
        <v>1.1236062954385824</v>
      </c>
      <c r="O339" s="1469">
        <v>1.1236062954385824</v>
      </c>
    </row>
    <row r="340" spans="2:15">
      <c r="B340" s="1385">
        <v>42767</v>
      </c>
      <c r="C340" s="1386">
        <v>666.09900000000005</v>
      </c>
      <c r="D340" s="1386">
        <v>4809.67</v>
      </c>
      <c r="E340" s="1386">
        <v>1.0086508422083289</v>
      </c>
      <c r="F340" s="1386">
        <v>48.433414244872004</v>
      </c>
      <c r="K340" s="1466">
        <v>42397</v>
      </c>
      <c r="L340" s="1467" t="s">
        <v>2127</v>
      </c>
      <c r="M340" s="1468">
        <v>5.2531000000000001E-2</v>
      </c>
      <c r="N340" s="1469">
        <v>1.1241965370616391</v>
      </c>
      <c r="O340" s="1469">
        <v>1.1241965370616391</v>
      </c>
    </row>
    <row r="341" spans="2:15">
      <c r="B341" s="1385">
        <v>42795</v>
      </c>
      <c r="C341" s="1386">
        <v>666.197</v>
      </c>
      <c r="D341" s="1386">
        <v>4821.6899999999996</v>
      </c>
      <c r="E341" s="1386">
        <v>1.0105205646045978</v>
      </c>
      <c r="F341" s="1386">
        <v>48.94296110845643</v>
      </c>
      <c r="K341" s="1466">
        <v>42398</v>
      </c>
      <c r="L341" s="1467" t="s">
        <v>2127</v>
      </c>
      <c r="M341" s="1468">
        <v>5.2531000000000001E-2</v>
      </c>
      <c r="N341" s="1469">
        <v>1.124787088744523</v>
      </c>
      <c r="O341" s="1469">
        <v>1.124787088744523</v>
      </c>
    </row>
    <row r="342" spans="2:15">
      <c r="B342" s="1385">
        <v>42826</v>
      </c>
      <c r="C342" s="1386">
        <v>658.89800000000002</v>
      </c>
      <c r="D342" s="1386">
        <v>4828.4399999999996</v>
      </c>
      <c r="E342" s="1386">
        <v>1.0078658059100756</v>
      </c>
      <c r="F342" s="1386">
        <v>49.327936941199923</v>
      </c>
      <c r="K342" s="1466">
        <v>42399</v>
      </c>
      <c r="L342" s="1467"/>
      <c r="M342" s="1468">
        <v>0</v>
      </c>
      <c r="N342" s="1469">
        <v>1.124787088744523</v>
      </c>
      <c r="O342" s="1469">
        <v>1.124787088744523</v>
      </c>
    </row>
    <row r="343" spans="2:15">
      <c r="B343" s="1385">
        <v>42856</v>
      </c>
      <c r="C343" s="1386">
        <v>652.75800000000004</v>
      </c>
      <c r="D343" s="1386">
        <v>4843.41</v>
      </c>
      <c r="E343" s="1386">
        <v>1.0092713189779878</v>
      </c>
      <c r="F343" s="1386">
        <v>49.785271979107854</v>
      </c>
      <c r="K343" s="1466">
        <v>42400</v>
      </c>
      <c r="L343" s="1467"/>
      <c r="M343" s="1468">
        <v>0</v>
      </c>
      <c r="N343" s="1469">
        <v>1.124787088744523</v>
      </c>
      <c r="O343" s="1469">
        <v>1.124787088744523</v>
      </c>
    </row>
    <row r="344" spans="2:15">
      <c r="B344" s="1385">
        <v>42887</v>
      </c>
      <c r="C344" s="1386">
        <v>648.40899999999999</v>
      </c>
      <c r="D344" s="1386">
        <v>4832.2700000000004</v>
      </c>
      <c r="E344" s="1386">
        <v>1.0080886926571575</v>
      </c>
      <c r="F344" s="1386">
        <v>50.187969742999854</v>
      </c>
      <c r="K344" s="1466">
        <v>42401</v>
      </c>
      <c r="L344" s="1467" t="s">
        <v>2127</v>
      </c>
      <c r="M344" s="1468">
        <v>5.2531000000000001E-2</v>
      </c>
      <c r="N344" s="1469">
        <v>1.1253779506501114</v>
      </c>
      <c r="O344" s="1469">
        <v>1.1253779506501114</v>
      </c>
    </row>
    <row r="345" spans="2:15">
      <c r="B345" s="1385">
        <v>42917</v>
      </c>
      <c r="C345" s="1386">
        <v>643.76599999999996</v>
      </c>
      <c r="D345" s="1386">
        <v>4843.87</v>
      </c>
      <c r="E345" s="1386">
        <v>1.0079792299470567</v>
      </c>
      <c r="F345" s="1386">
        <v>50.588431094155176</v>
      </c>
      <c r="K345" s="1466">
        <v>42402</v>
      </c>
      <c r="L345" s="1467" t="s">
        <v>2127</v>
      </c>
      <c r="M345" s="1468">
        <v>5.2531000000000001E-2</v>
      </c>
      <c r="N345" s="1469">
        <v>1.1259691229413673</v>
      </c>
      <c r="O345" s="1469">
        <v>1.1259691229413673</v>
      </c>
    </row>
    <row r="346" spans="2:15">
      <c r="B346" s="1385">
        <v>42948</v>
      </c>
      <c r="C346" s="1386">
        <v>644.38300000000004</v>
      </c>
      <c r="D346" s="1386">
        <v>4853.07</v>
      </c>
      <c r="E346" s="1386">
        <v>1.0080228940119034</v>
      </c>
      <c r="F346" s="1386">
        <v>50.994296715052059</v>
      </c>
      <c r="K346" s="1466">
        <v>42403</v>
      </c>
      <c r="L346" s="1467" t="s">
        <v>2127</v>
      </c>
      <c r="M346" s="1468">
        <v>5.2531000000000001E-2</v>
      </c>
      <c r="N346" s="1469">
        <v>1.1265606057813395</v>
      </c>
      <c r="O346" s="1469">
        <v>1.1265606057813395</v>
      </c>
    </row>
    <row r="347" spans="2:15">
      <c r="B347" s="1385">
        <v>42979</v>
      </c>
      <c r="C347" s="1386">
        <v>647.4</v>
      </c>
      <c r="D347" s="1386">
        <v>4860.83</v>
      </c>
      <c r="E347" s="1386">
        <v>1.0063846003708505</v>
      </c>
      <c r="F347" s="1386">
        <v>51.319874920770239</v>
      </c>
      <c r="K347" s="1466">
        <v>42404</v>
      </c>
      <c r="L347" s="1467" t="s">
        <v>2127</v>
      </c>
      <c r="M347" s="1468">
        <v>5.2531000000000001E-2</v>
      </c>
      <c r="N347" s="1469">
        <v>1.1271523993331625</v>
      </c>
      <c r="O347" s="1469">
        <v>1.1271523993331625</v>
      </c>
    </row>
    <row r="348" spans="2:15">
      <c r="B348" s="1385">
        <v>43009</v>
      </c>
      <c r="C348" s="1386">
        <v>648.67200000000003</v>
      </c>
      <c r="D348" s="1386">
        <v>4881.25</v>
      </c>
      <c r="E348" s="1386">
        <v>1.0064393014601032</v>
      </c>
      <c r="F348" s="1386">
        <v>51.650339066279869</v>
      </c>
      <c r="K348" s="1466">
        <v>42405</v>
      </c>
      <c r="L348" s="1467" t="s">
        <v>2127</v>
      </c>
      <c r="M348" s="1468">
        <v>5.2531000000000001E-2</v>
      </c>
      <c r="N348" s="1469">
        <v>1.1277445037600562</v>
      </c>
      <c r="O348" s="1469">
        <v>1.1277445037600562</v>
      </c>
    </row>
    <row r="349" spans="2:15">
      <c r="B349" s="1385">
        <v>43040</v>
      </c>
      <c r="C349" s="1386">
        <v>652.07299999999998</v>
      </c>
      <c r="D349" s="1386">
        <v>4894.92</v>
      </c>
      <c r="E349" s="1386">
        <v>1.0056818783789492</v>
      </c>
      <c r="F349" s="1386">
        <v>51.943810011085958</v>
      </c>
      <c r="K349" s="1466">
        <v>42406</v>
      </c>
      <c r="L349" s="1467"/>
      <c r="M349" s="1468">
        <v>0</v>
      </c>
      <c r="N349" s="1469">
        <v>1.1277445037600562</v>
      </c>
      <c r="O349" s="1469">
        <v>1.1277445037600562</v>
      </c>
    </row>
    <row r="350" spans="2:15">
      <c r="B350" s="1385">
        <v>43070</v>
      </c>
      <c r="C350" s="1386">
        <v>657.85900000000004</v>
      </c>
      <c r="D350" s="1386">
        <v>4916.46</v>
      </c>
      <c r="E350" s="1386">
        <v>1.0053840004998948</v>
      </c>
      <c r="F350" s="1386">
        <v>52.223475510152085</v>
      </c>
      <c r="K350" s="1466">
        <v>42407</v>
      </c>
      <c r="L350" s="1467"/>
      <c r="M350" s="1468">
        <v>0</v>
      </c>
      <c r="N350" s="1469">
        <v>1.1277445037600562</v>
      </c>
      <c r="O350" s="1469">
        <v>1.1277445037600562</v>
      </c>
    </row>
    <row r="351" spans="2:15">
      <c r="B351" s="1385">
        <v>43101</v>
      </c>
      <c r="C351" s="1386">
        <v>662.82600000000002</v>
      </c>
      <c r="D351" s="1386">
        <v>4930.72</v>
      </c>
      <c r="E351" s="1386">
        <v>1.0058420473548675</v>
      </c>
      <c r="F351" s="1386">
        <v>52.528567527118156</v>
      </c>
      <c r="K351" s="1466">
        <v>42408</v>
      </c>
      <c r="L351" s="1467"/>
      <c r="M351" s="1468">
        <v>0</v>
      </c>
      <c r="N351" s="1469">
        <v>1.1277445037600562</v>
      </c>
      <c r="O351" s="1469">
        <v>1.1277445037600562</v>
      </c>
    </row>
    <row r="352" spans="2:15">
      <c r="B352" s="1385">
        <v>43132</v>
      </c>
      <c r="C352" s="1386">
        <v>663.31100000000004</v>
      </c>
      <c r="D352" s="1386">
        <v>4946.5</v>
      </c>
      <c r="E352" s="1386">
        <v>1.0046560161193037</v>
      </c>
      <c r="F352" s="1386">
        <v>52.773141384248348</v>
      </c>
      <c r="K352" s="1466">
        <v>42409</v>
      </c>
      <c r="L352" s="1467"/>
      <c r="M352" s="1468">
        <v>0</v>
      </c>
      <c r="N352" s="1469">
        <v>1.1277445037600562</v>
      </c>
      <c r="O352" s="1469">
        <v>1.1277445037600562</v>
      </c>
    </row>
    <row r="353" spans="2:15">
      <c r="B353" s="1385">
        <v>43160</v>
      </c>
      <c r="C353" s="1386">
        <v>667.524</v>
      </c>
      <c r="D353" s="1386">
        <v>4950.95</v>
      </c>
      <c r="E353" s="1386">
        <v>1.0053234480536677</v>
      </c>
      <c r="F353" s="1386">
        <v>53.054076461036253</v>
      </c>
      <c r="K353" s="1466">
        <v>42410</v>
      </c>
      <c r="L353" s="1467" t="s">
        <v>2127</v>
      </c>
      <c r="M353" s="1468">
        <v>5.2531000000000001E-2</v>
      </c>
      <c r="N353" s="1469">
        <v>1.1283369192253263</v>
      </c>
      <c r="O353" s="1469">
        <v>1.1283369192253263</v>
      </c>
    </row>
    <row r="354" spans="2:15">
      <c r="B354" s="1385">
        <v>43191</v>
      </c>
      <c r="C354" s="1386">
        <v>671.327</v>
      </c>
      <c r="D354" s="1386">
        <v>4961.84</v>
      </c>
      <c r="E354" s="1386">
        <v>1.0051829489023658</v>
      </c>
      <c r="F354" s="1386">
        <v>53.329053028396011</v>
      </c>
      <c r="K354" s="1466">
        <v>42411</v>
      </c>
      <c r="L354" s="1467" t="s">
        <v>2127</v>
      </c>
      <c r="M354" s="1468">
        <v>5.2531000000000001E-2</v>
      </c>
      <c r="N354" s="1469">
        <v>1.1289296458923646</v>
      </c>
      <c r="O354" s="1469">
        <v>1.1289296458923646</v>
      </c>
    </row>
    <row r="355" spans="2:15">
      <c r="B355" s="1385">
        <v>43221</v>
      </c>
      <c r="C355" s="1386">
        <v>680.57899999999995</v>
      </c>
      <c r="D355" s="1386">
        <v>4981.6899999999996</v>
      </c>
      <c r="E355" s="1386">
        <v>1.0051829489023656</v>
      </c>
      <c r="F355" s="1386">
        <v>53.605454785253734</v>
      </c>
      <c r="G355" s="491"/>
      <c r="K355" s="1466">
        <v>42412</v>
      </c>
      <c r="L355" s="1467" t="s">
        <v>2127</v>
      </c>
      <c r="M355" s="1468">
        <v>5.2531000000000001E-2</v>
      </c>
      <c r="N355" s="1469">
        <v>1.1295226839246482</v>
      </c>
      <c r="O355" s="1469">
        <v>1.1295226839246482</v>
      </c>
    </row>
    <row r="356" spans="2:15">
      <c r="B356" s="1385">
        <v>43252</v>
      </c>
      <c r="C356" s="1386">
        <v>693.28700000000003</v>
      </c>
      <c r="D356" s="1386">
        <v>5044.46</v>
      </c>
      <c r="E356" s="1386">
        <v>1.0051829489023654</v>
      </c>
      <c r="F356" s="1386">
        <v>53.88328911829376</v>
      </c>
      <c r="G356" s="10"/>
      <c r="I356" s="10"/>
      <c r="K356" s="1466">
        <v>42413</v>
      </c>
      <c r="L356" s="1467"/>
      <c r="M356" s="1468">
        <v>0</v>
      </c>
      <c r="N356" s="1469">
        <v>1.1295226839246482</v>
      </c>
      <c r="O356" s="1469">
        <v>1.1295226839246482</v>
      </c>
    </row>
    <row r="357" spans="2:15">
      <c r="B357" s="1385">
        <v>43282</v>
      </c>
      <c r="C357" s="1386">
        <v>696.8</v>
      </c>
      <c r="D357" s="1386">
        <v>5061.1099999999997</v>
      </c>
      <c r="E357" s="1386">
        <v>1.0054304249443857</v>
      </c>
      <c r="F357" s="1386">
        <v>54.175898275607288</v>
      </c>
      <c r="G357" s="10"/>
      <c r="K357" s="1466">
        <v>42414</v>
      </c>
      <c r="L357" s="1467"/>
      <c r="M357" s="1468">
        <v>0</v>
      </c>
      <c r="N357" s="1469">
        <v>1.1295226839246482</v>
      </c>
      <c r="O357" s="1469">
        <v>1.1295226839246482</v>
      </c>
    </row>
    <row r="358" spans="2:15">
      <c r="B358" s="1385">
        <v>43313</v>
      </c>
      <c r="C358" s="1386">
        <v>701.67700000000002</v>
      </c>
      <c r="D358" s="1386">
        <v>5056.5600000000004</v>
      </c>
      <c r="E358" s="1386">
        <v>1.0056779619150069</v>
      </c>
      <c r="F358" s="1386">
        <v>54.483506962727475</v>
      </c>
      <c r="K358" s="1466">
        <v>42415</v>
      </c>
      <c r="L358" s="1467" t="s">
        <v>2127</v>
      </c>
      <c r="M358" s="1468">
        <v>5.2531000000000001E-2</v>
      </c>
      <c r="N358" s="1469">
        <v>1.1301160334857405</v>
      </c>
      <c r="O358" s="1469">
        <v>1.1301160334857405</v>
      </c>
    </row>
    <row r="359" spans="2:15">
      <c r="B359" s="1385">
        <v>43344</v>
      </c>
      <c r="C359" s="1386">
        <v>712.37300000000005</v>
      </c>
      <c r="D359" s="1386">
        <v>5080.83</v>
      </c>
      <c r="E359" s="1386">
        <v>1.0046881795441467</v>
      </c>
      <c r="F359" s="1386">
        <v>54.738935425563504</v>
      </c>
      <c r="K359" s="1466">
        <v>42416</v>
      </c>
      <c r="L359" s="1467" t="s">
        <v>2127</v>
      </c>
      <c r="M359" s="1468">
        <v>5.2531000000000001E-2</v>
      </c>
      <c r="N359" s="1469">
        <v>1.1307096947392909</v>
      </c>
      <c r="O359" s="1469">
        <v>1.1307096947392909</v>
      </c>
    </row>
    <row r="360" spans="2:15">
      <c r="B360" s="1385">
        <v>43374</v>
      </c>
      <c r="C360" s="1386">
        <v>718.68399999999997</v>
      </c>
      <c r="D360" s="1386">
        <v>5103.6899999999996</v>
      </c>
      <c r="E360" s="1386">
        <v>1.0054304249443855</v>
      </c>
      <c r="F360" s="1386">
        <v>55.036191105927593</v>
      </c>
      <c r="K360" s="1466">
        <v>42417</v>
      </c>
      <c r="L360" s="1467" t="s">
        <v>2127</v>
      </c>
      <c r="M360" s="1468">
        <v>5.2531000000000001E-2</v>
      </c>
      <c r="N360" s="1469">
        <v>1.1313036678490345</v>
      </c>
      <c r="O360" s="1469">
        <v>1.1313036678490345</v>
      </c>
    </row>
    <row r="361" spans="2:15">
      <c r="B361" s="1385">
        <v>43405</v>
      </c>
      <c r="C361" s="1386">
        <v>715.16600000000005</v>
      </c>
      <c r="D361" s="1386">
        <v>5092.97</v>
      </c>
      <c r="E361" s="1386">
        <v>1.0049355337739507</v>
      </c>
      <c r="F361" s="1386">
        <v>55.307824085920508</v>
      </c>
      <c r="K361" s="1466">
        <v>42418</v>
      </c>
      <c r="L361" s="1467" t="s">
        <v>2127</v>
      </c>
      <c r="M361" s="1468">
        <v>5.2531000000000001E-2</v>
      </c>
      <c r="N361" s="1469">
        <v>1.1318979529787923</v>
      </c>
      <c r="O361" s="1469">
        <v>1.1318979529787923</v>
      </c>
    </row>
    <row r="362" spans="2:15">
      <c r="B362" s="1385">
        <v>43435</v>
      </c>
      <c r="C362" s="1386">
        <v>707.44100000000003</v>
      </c>
      <c r="D362" s="1386">
        <v>5100.6099999999997</v>
      </c>
      <c r="E362" s="1386">
        <v>1.0049355337739507</v>
      </c>
      <c r="F362" s="1386">
        <v>55.580797719660296</v>
      </c>
      <c r="K362" s="1466">
        <v>42419</v>
      </c>
      <c r="L362" s="1467" t="s">
        <v>2127</v>
      </c>
      <c r="M362" s="1468">
        <v>5.2531000000000001E-2</v>
      </c>
      <c r="N362" s="1469">
        <v>1.1324925502924716</v>
      </c>
      <c r="O362" s="1469">
        <v>1.1324925502924716</v>
      </c>
    </row>
    <row r="363" spans="2:15">
      <c r="B363" s="1385">
        <v>43466</v>
      </c>
      <c r="C363" s="1386">
        <v>707.48800000000006</v>
      </c>
      <c r="D363" s="1386">
        <v>5116.93</v>
      </c>
      <c r="E363" s="1386">
        <v>1.0054304249443855</v>
      </c>
      <c r="F363" s="1386">
        <v>55.882625070025988</v>
      </c>
      <c r="K363" s="1466">
        <v>42420</v>
      </c>
      <c r="L363" s="1467"/>
      <c r="M363" s="1468">
        <v>0</v>
      </c>
      <c r="N363" s="1469">
        <v>1.1324925502924716</v>
      </c>
      <c r="O363" s="1469">
        <v>1.1324925502924716</v>
      </c>
    </row>
    <row r="364" spans="2:15">
      <c r="B364" s="1385">
        <v>43497</v>
      </c>
      <c r="C364" s="1386">
        <v>713.74699999999996</v>
      </c>
      <c r="D364" s="1386">
        <v>5138.93</v>
      </c>
      <c r="E364" s="1386">
        <v>1.0049355337739507</v>
      </c>
      <c r="F364" s="1386">
        <v>56.158435653436129</v>
      </c>
      <c r="K364" s="1466">
        <v>42421</v>
      </c>
      <c r="L364" s="1467"/>
      <c r="M364" s="1468">
        <v>0</v>
      </c>
      <c r="N364" s="1469">
        <v>1.1324925502924716</v>
      </c>
      <c r="O364" s="1469">
        <v>1.1324925502924716</v>
      </c>
    </row>
    <row r="365" spans="2:15">
      <c r="B365" s="1385">
        <v>43525</v>
      </c>
      <c r="C365" s="1386">
        <v>722.70699999999999</v>
      </c>
      <c r="D365" s="1386">
        <v>5177.47</v>
      </c>
      <c r="E365" s="1386">
        <v>1.0046881795441467</v>
      </c>
      <c r="F365" s="1386">
        <v>56.421716482697846</v>
      </c>
      <c r="K365" s="1466">
        <v>42422</v>
      </c>
      <c r="L365" s="1467" t="s">
        <v>2127</v>
      </c>
      <c r="M365" s="1468">
        <v>5.2531000000000001E-2</v>
      </c>
      <c r="N365" s="1469">
        <v>1.1330874599540657</v>
      </c>
      <c r="O365" s="1469">
        <v>1.1330874599540657</v>
      </c>
    </row>
    <row r="366" spans="2:15">
      <c r="B366" s="1385">
        <v>43556</v>
      </c>
      <c r="C366" s="1386">
        <v>729.346</v>
      </c>
      <c r="D366" s="1386">
        <v>5206.9799999999996</v>
      </c>
      <c r="E366" s="1386">
        <v>1.0051829489023654</v>
      </c>
      <c r="F366" s="1386">
        <v>56.714147356211413</v>
      </c>
      <c r="K366" s="1466">
        <v>42423</v>
      </c>
      <c r="L366" s="1467" t="s">
        <v>2127</v>
      </c>
      <c r="M366" s="1468">
        <v>5.2531000000000001E-2</v>
      </c>
      <c r="N366" s="1469">
        <v>1.1336826821276542</v>
      </c>
      <c r="O366" s="1469">
        <v>1.1336826821276542</v>
      </c>
    </row>
    <row r="367" spans="2:15">
      <c r="B367" s="1385">
        <v>43586</v>
      </c>
      <c r="C367" s="1386">
        <v>732.59500000000003</v>
      </c>
      <c r="D367" s="1386">
        <v>5213.75</v>
      </c>
      <c r="E367" s="1386">
        <v>1.0054304249443855</v>
      </c>
      <c r="F367" s="1386">
        <v>57.022129276714139</v>
      </c>
      <c r="K367" s="1466">
        <v>42424</v>
      </c>
      <c r="L367" s="1467" t="s">
        <v>2127</v>
      </c>
      <c r="M367" s="1468">
        <v>5.2531000000000001E-2</v>
      </c>
      <c r="N367" s="1469">
        <v>1.1342782169774026</v>
      </c>
      <c r="O367" s="1469">
        <v>1.1342782169774026</v>
      </c>
    </row>
    <row r="368" spans="2:15">
      <c r="B368" s="1385">
        <v>43617</v>
      </c>
      <c r="C368" s="1386">
        <v>738.42100000000005</v>
      </c>
      <c r="D368" s="1386">
        <v>5214.2700000000004</v>
      </c>
      <c r="E368" s="1386">
        <v>1.0046881795441465</v>
      </c>
      <c r="F368" s="1386">
        <v>57.289459256752906</v>
      </c>
      <c r="K368" s="1466">
        <v>42425</v>
      </c>
      <c r="L368" s="1467" t="s">
        <v>2127</v>
      </c>
      <c r="M368" s="1468">
        <v>5.2531000000000001E-2</v>
      </c>
      <c r="N368" s="1469">
        <v>1.134874064667563</v>
      </c>
      <c r="O368" s="1469">
        <v>1.134874064667563</v>
      </c>
    </row>
    <row r="369" spans="2:15">
      <c r="B369" s="1385">
        <v>43647</v>
      </c>
      <c r="C369" s="1386">
        <v>741.346</v>
      </c>
      <c r="D369" s="1386">
        <v>5224.18</v>
      </c>
      <c r="E369" s="1386">
        <v>1.0056779619150069</v>
      </c>
      <c r="F369" s="1386">
        <v>57.61474662454409</v>
      </c>
      <c r="K369" s="1466">
        <v>42426</v>
      </c>
      <c r="L369" s="1467" t="s">
        <v>2127</v>
      </c>
      <c r="M369" s="1468">
        <v>5.2531000000000001E-2</v>
      </c>
      <c r="N369" s="1469">
        <v>1.1354702253624736</v>
      </c>
      <c r="O369" s="1469">
        <v>1.1354702253624736</v>
      </c>
    </row>
    <row r="370" spans="2:15">
      <c r="B370" s="1385">
        <v>43678</v>
      </c>
      <c r="C370" s="1386">
        <v>736.40200000000004</v>
      </c>
      <c r="D370" s="1386">
        <v>5229.93</v>
      </c>
      <c r="E370" s="1386">
        <v>1.0050171948996307</v>
      </c>
      <c r="F370" s="1386">
        <v>57.903811037452265</v>
      </c>
      <c r="K370" s="1466">
        <v>42427</v>
      </c>
      <c r="L370" s="1467"/>
      <c r="M370" s="1468">
        <v>0</v>
      </c>
      <c r="N370" s="1469">
        <v>1.1354702253624736</v>
      </c>
      <c r="O370" s="1469">
        <v>1.1354702253624736</v>
      </c>
    </row>
    <row r="371" spans="2:15">
      <c r="B371" s="1385">
        <v>43709</v>
      </c>
      <c r="C371" s="1386">
        <v>736.36199999999997</v>
      </c>
      <c r="D371" s="1386">
        <v>5227.84</v>
      </c>
      <c r="E371" s="1386">
        <v>1.0046375999081099</v>
      </c>
      <c r="F371" s="1386">
        <v>58.172345746198765</v>
      </c>
      <c r="K371" s="1466">
        <v>42428</v>
      </c>
      <c r="L371" s="1467"/>
      <c r="M371" s="1468">
        <v>0</v>
      </c>
      <c r="N371" s="1469">
        <v>1.1354702253624736</v>
      </c>
      <c r="O371" s="1469">
        <v>1.1354702253624736</v>
      </c>
    </row>
    <row r="372" spans="2:15">
      <c r="B372" s="1385">
        <v>43739</v>
      </c>
      <c r="C372" s="1386">
        <v>741.33299999999997</v>
      </c>
      <c r="D372" s="1386">
        <v>5233.07</v>
      </c>
      <c r="E372" s="1386">
        <v>1.0047926409835022</v>
      </c>
      <c r="F372" s="1386">
        <v>58.451144914528456</v>
      </c>
      <c r="K372" s="1466">
        <v>42429</v>
      </c>
      <c r="L372" s="1467" t="s">
        <v>2127</v>
      </c>
      <c r="M372" s="1468">
        <v>5.2531000000000001E-2</v>
      </c>
      <c r="N372" s="1469">
        <v>1.1360666992265587</v>
      </c>
      <c r="O372" s="1469">
        <v>1.1360666992265587</v>
      </c>
    </row>
    <row r="373" spans="2:15">
      <c r="B373" s="1385">
        <v>43770</v>
      </c>
      <c r="C373" s="1386">
        <v>743.55799999999999</v>
      </c>
      <c r="D373" s="1386">
        <v>5259.76</v>
      </c>
      <c r="E373" s="1386">
        <v>1.0038038559813272</v>
      </c>
      <c r="F373" s="1386">
        <v>58.673484651727009</v>
      </c>
      <c r="K373" s="1466">
        <v>42430</v>
      </c>
      <c r="L373" s="1467" t="s">
        <v>2127</v>
      </c>
      <c r="M373" s="1468">
        <v>5.2531000000000001E-2</v>
      </c>
      <c r="N373" s="1469">
        <v>1.1366634864243295</v>
      </c>
      <c r="O373" s="1469">
        <v>1.1366634864243295</v>
      </c>
    </row>
    <row r="374" spans="2:15">
      <c r="B374" s="1385">
        <v>43800</v>
      </c>
      <c r="C374" s="1386">
        <v>759.11199999999997</v>
      </c>
      <c r="D374" s="1386">
        <v>5320.25</v>
      </c>
      <c r="E374" s="1386">
        <v>1.0037470387078873</v>
      </c>
      <c r="F374" s="1386">
        <v>58.893336469843661</v>
      </c>
      <c r="K374" s="1466">
        <v>42431</v>
      </c>
      <c r="L374" s="1467" t="s">
        <v>2127</v>
      </c>
      <c r="M374" s="1468">
        <v>5.2531000000000001E-2</v>
      </c>
      <c r="N374" s="1469">
        <v>1.1372605871203831</v>
      </c>
      <c r="O374" s="1469">
        <v>1.1372605871203831</v>
      </c>
    </row>
    <row r="375" spans="2:15">
      <c r="B375" s="1385">
        <v>43831</v>
      </c>
      <c r="C375" s="1386">
        <v>762.73299999999995</v>
      </c>
      <c r="D375" s="1386">
        <v>5331.42</v>
      </c>
      <c r="E375" s="1386">
        <v>1.00376633367529</v>
      </c>
      <c r="F375" s="1386">
        <v>59.115148426240218</v>
      </c>
      <c r="K375" s="1466">
        <v>42432</v>
      </c>
      <c r="L375" s="1467" t="s">
        <v>2127</v>
      </c>
      <c r="M375" s="1468">
        <v>5.2531000000000001E-2</v>
      </c>
      <c r="N375" s="1469">
        <v>1.1378580014794033</v>
      </c>
      <c r="O375" s="1469">
        <v>1.1378580014794033</v>
      </c>
    </row>
    <row r="376" spans="2:15">
      <c r="B376" s="1385">
        <v>43862</v>
      </c>
      <c r="C376" s="1386">
        <v>762.423</v>
      </c>
      <c r="D376" s="1386">
        <v>5344.75</v>
      </c>
      <c r="E376" s="1386">
        <v>1.0029372863155552</v>
      </c>
      <c r="F376" s="1386">
        <v>59.288786542754629</v>
      </c>
      <c r="K376" s="1466">
        <v>42433</v>
      </c>
      <c r="L376" s="1467" t="s">
        <v>2127</v>
      </c>
      <c r="M376" s="1468">
        <v>5.2531000000000001E-2</v>
      </c>
      <c r="N376" s="1469">
        <v>1.1384557296661604</v>
      </c>
      <c r="O376" s="1469">
        <v>1.1384557296661604</v>
      </c>
    </row>
    <row r="377" spans="2:15">
      <c r="B377" s="1385">
        <v>43891</v>
      </c>
      <c r="C377" s="1386">
        <v>771.90800000000002</v>
      </c>
      <c r="D377" s="1386">
        <v>5348.49</v>
      </c>
      <c r="E377" s="1386">
        <v>1.0033836914846632</v>
      </c>
      <c r="F377" s="1386">
        <v>59.489401504915364</v>
      </c>
      <c r="K377" s="1466">
        <v>42434</v>
      </c>
      <c r="L377" s="1467"/>
      <c r="M377" s="1468">
        <v>0</v>
      </c>
      <c r="N377" s="1469">
        <v>1.1384557296661604</v>
      </c>
      <c r="O377" s="1469">
        <v>1.1384557296661604</v>
      </c>
    </row>
    <row r="378" spans="2:15">
      <c r="B378" s="1385">
        <v>43922</v>
      </c>
      <c r="C378" s="1386">
        <v>778.101</v>
      </c>
      <c r="D378" s="1386">
        <v>5331.91</v>
      </c>
      <c r="E378" s="1386">
        <v>1.0028492490278405</v>
      </c>
      <c r="F378" s="1386">
        <v>59.658901624320052</v>
      </c>
      <c r="K378" s="1466">
        <v>42435</v>
      </c>
      <c r="L378" s="1467"/>
      <c r="M378" s="1468">
        <v>0</v>
      </c>
      <c r="N378" s="1469">
        <v>1.1384557296661604</v>
      </c>
      <c r="O378" s="1469">
        <v>1.1384557296661604</v>
      </c>
    </row>
    <row r="379" spans="2:15">
      <c r="B379" s="1385">
        <v>43952</v>
      </c>
      <c r="C379" s="1386">
        <v>780.28</v>
      </c>
      <c r="D379" s="1386">
        <v>5311.65</v>
      </c>
      <c r="E379" s="1386">
        <v>1.0023580961930716</v>
      </c>
      <c r="F379" s="1386">
        <v>59.799583053123193</v>
      </c>
      <c r="K379" s="1466">
        <v>42436</v>
      </c>
      <c r="L379" s="1467" t="s">
        <v>2127</v>
      </c>
      <c r="M379" s="1468">
        <v>5.2531000000000001E-2</v>
      </c>
      <c r="N379" s="1469">
        <v>1.1390537718455114</v>
      </c>
      <c r="O379" s="1469">
        <v>1.1390537718455114</v>
      </c>
    </row>
    <row r="380" spans="2:15">
      <c r="B380" s="1385">
        <v>43983</v>
      </c>
      <c r="C380" s="1386">
        <v>792.42899999999997</v>
      </c>
      <c r="D380" s="1386">
        <v>5325.46</v>
      </c>
      <c r="E380" s="1386">
        <v>1.0021233217736718</v>
      </c>
      <c r="F380" s="1386">
        <v>59.926556809876388</v>
      </c>
      <c r="K380" s="1466">
        <v>42437</v>
      </c>
      <c r="L380" s="1467" t="s">
        <v>2127</v>
      </c>
      <c r="M380" s="1468">
        <v>5.2531000000000001E-2</v>
      </c>
      <c r="N380" s="1469">
        <v>1.1396521281823995</v>
      </c>
      <c r="O380" s="1469">
        <v>1.1396521281823995</v>
      </c>
    </row>
    <row r="381" spans="2:15">
      <c r="B381" s="1385">
        <v>44013</v>
      </c>
      <c r="C381" s="1386">
        <v>810.08299999999997</v>
      </c>
      <c r="D381" s="1386">
        <v>5344.63</v>
      </c>
      <c r="E381" s="1386">
        <v>1.0019434641302636</v>
      </c>
      <c r="F381" s="1386">
        <v>60.043021923486585</v>
      </c>
      <c r="K381" s="1466">
        <v>42438</v>
      </c>
      <c r="L381" s="1467" t="s">
        <v>2127</v>
      </c>
      <c r="M381" s="1468">
        <v>5.2531000000000001E-2</v>
      </c>
      <c r="N381" s="1469">
        <v>1.1402507988418549</v>
      </c>
      <c r="O381" s="1469">
        <v>1.1402507988418549</v>
      </c>
    </row>
    <row r="382" spans="2:15">
      <c r="B382" s="1385">
        <v>44044</v>
      </c>
      <c r="C382" s="1386">
        <v>832.31299999999999</v>
      </c>
      <c r="D382" s="1386">
        <v>5357.46</v>
      </c>
      <c r="E382" s="1386">
        <v>1.0015988959789295</v>
      </c>
      <c r="F382" s="1386">
        <v>60.13902446980282</v>
      </c>
      <c r="K382" s="1466">
        <v>42439</v>
      </c>
      <c r="L382" s="1467" t="s">
        <v>2127</v>
      </c>
      <c r="M382" s="1468">
        <v>5.2531000000000001E-2</v>
      </c>
      <c r="N382" s="1469">
        <v>1.1408497839889944</v>
      </c>
      <c r="O382" s="1469">
        <v>1.1408497839889944</v>
      </c>
    </row>
    <row r="383" spans="2:15">
      <c r="B383" s="1385">
        <v>44075</v>
      </c>
      <c r="C383" s="1386">
        <v>868.44200000000001</v>
      </c>
      <c r="D383" s="1386">
        <v>5391.75</v>
      </c>
      <c r="E383" s="1386">
        <v>1.0015696620595307</v>
      </c>
      <c r="F383" s="1386">
        <v>60.233422414810256</v>
      </c>
      <c r="K383" s="1466">
        <v>42440</v>
      </c>
      <c r="L383" s="1467" t="s">
        <v>2127</v>
      </c>
      <c r="M383" s="1468">
        <v>5.2531000000000001E-2</v>
      </c>
      <c r="N383" s="1469">
        <v>1.1414490837890217</v>
      </c>
      <c r="O383" s="1469">
        <v>1.1414490837890217</v>
      </c>
    </row>
    <row r="384" spans="2:15">
      <c r="B384" s="1385">
        <v>44105</v>
      </c>
      <c r="C384" s="1386">
        <v>896.505</v>
      </c>
      <c r="D384" s="1386">
        <v>5438.12</v>
      </c>
      <c r="E384" s="1386">
        <v>1.00156966205953</v>
      </c>
      <c r="F384" s="1386">
        <v>60.327968532690427</v>
      </c>
      <c r="K384" s="1466">
        <v>42441</v>
      </c>
      <c r="L384" s="1467"/>
      <c r="M384" s="1468">
        <v>0</v>
      </c>
      <c r="N384" s="1469">
        <v>1.1414490837890217</v>
      </c>
      <c r="O384" s="1469">
        <v>1.1414490837890217</v>
      </c>
    </row>
    <row r="385" spans="2:15">
      <c r="B385" s="1385">
        <v>44136</v>
      </c>
      <c r="C385" s="1386">
        <v>925.88699999999994</v>
      </c>
      <c r="D385" s="1386">
        <v>5486.52</v>
      </c>
      <c r="E385" s="1386">
        <v>1.0014948604084073</v>
      </c>
      <c r="F385" s="1386">
        <v>60.418150424369585</v>
      </c>
      <c r="K385" s="1466">
        <v>42442</v>
      </c>
      <c r="L385" s="1467"/>
      <c r="M385" s="1468">
        <v>0</v>
      </c>
      <c r="N385" s="1469">
        <v>1.1414490837890217</v>
      </c>
      <c r="O385" s="1469">
        <v>1.1414490837890217</v>
      </c>
    </row>
    <row r="386" spans="2:15">
      <c r="B386" s="1385">
        <v>44166</v>
      </c>
      <c r="C386" s="1386">
        <v>934.75800000000004</v>
      </c>
      <c r="D386" s="1386">
        <v>5560.59</v>
      </c>
      <c r="E386" s="1386">
        <v>1.0016444692975899</v>
      </c>
      <c r="F386" s="1386">
        <v>60.517506217759632</v>
      </c>
      <c r="K386" s="1466">
        <v>42443</v>
      </c>
      <c r="L386" s="1467" t="s">
        <v>2127</v>
      </c>
      <c r="M386" s="1468">
        <v>5.2531000000000001E-2</v>
      </c>
      <c r="N386" s="1469">
        <v>1.1420486984072269</v>
      </c>
      <c r="O386" s="1469">
        <v>1.1420486984072269</v>
      </c>
    </row>
    <row r="387" spans="2:15">
      <c r="B387" s="1385">
        <v>44197</v>
      </c>
      <c r="C387" s="1386">
        <v>958.84400000000005</v>
      </c>
      <c r="D387" s="1386">
        <v>5574.49</v>
      </c>
      <c r="E387" s="1386">
        <v>1.0014948604084077</v>
      </c>
      <c r="F387" s="1386">
        <v>60.607971441820126</v>
      </c>
      <c r="K387" s="1466">
        <v>42444</v>
      </c>
      <c r="L387" s="1467" t="s">
        <v>2127</v>
      </c>
      <c r="M387" s="1468">
        <v>5.2531000000000001E-2</v>
      </c>
      <c r="N387" s="1469">
        <v>1.1426486280089871</v>
      </c>
      <c r="O387" s="1469">
        <v>1.1426486280089871</v>
      </c>
    </row>
    <row r="388" spans="2:15">
      <c r="B388" s="1385">
        <v>44228</v>
      </c>
      <c r="C388" s="1386">
        <v>983.06299999999999</v>
      </c>
      <c r="D388" s="1386">
        <v>5622.43</v>
      </c>
      <c r="E388" s="1386">
        <v>1.0013452738652961</v>
      </c>
      <c r="F388" s="1386">
        <v>60.689505761829423</v>
      </c>
      <c r="K388" s="1466">
        <v>42445</v>
      </c>
      <c r="L388" s="1467" t="s">
        <v>2127</v>
      </c>
      <c r="M388" s="1468">
        <v>5.2531000000000001E-2</v>
      </c>
      <c r="N388" s="1469">
        <v>1.1432488727597665</v>
      </c>
      <c r="O388" s="1469">
        <v>1.1432488727597665</v>
      </c>
    </row>
    <row r="389" spans="2:15">
      <c r="B389" s="1385">
        <v>44256</v>
      </c>
      <c r="C389" s="1386">
        <v>1011.948</v>
      </c>
      <c r="D389" s="1386">
        <v>5674.72</v>
      </c>
      <c r="E389" s="1386">
        <v>1.0020107988327946</v>
      </c>
      <c r="F389" s="1386">
        <v>60.811540149178192</v>
      </c>
      <c r="K389" s="1466">
        <v>42446</v>
      </c>
      <c r="L389" s="1467" t="s">
        <v>2127</v>
      </c>
      <c r="M389" s="1468">
        <v>5.2531000000000001E-2</v>
      </c>
      <c r="N389" s="1469">
        <v>1.1438494328251159</v>
      </c>
      <c r="O389" s="1469">
        <v>1.1438494328251159</v>
      </c>
    </row>
    <row r="390" spans="2:15">
      <c r="B390" s="1385">
        <v>44287</v>
      </c>
      <c r="C390" s="1386">
        <v>1027.211</v>
      </c>
      <c r="D390" s="1386">
        <v>5692.31</v>
      </c>
      <c r="E390" s="1386">
        <v>1.0020778480243349</v>
      </c>
      <c r="F390" s="1386">
        <v>60.937897287733925</v>
      </c>
      <c r="K390" s="1466">
        <v>42447</v>
      </c>
      <c r="L390" s="1467" t="s">
        <v>2127</v>
      </c>
      <c r="M390" s="1468">
        <v>5.2531000000000001E-2</v>
      </c>
      <c r="N390" s="1469">
        <v>1.1444503083706732</v>
      </c>
      <c r="O390" s="1469">
        <v>1.1444503083706732</v>
      </c>
    </row>
    <row r="391" spans="2:15">
      <c r="B391" s="1385">
        <v>44317</v>
      </c>
      <c r="C391" s="1386">
        <v>1069.289</v>
      </c>
      <c r="D391" s="1386">
        <v>5739.56</v>
      </c>
      <c r="E391" s="1386">
        <v>1.0027032626398216</v>
      </c>
      <c r="F391" s="1386">
        <v>61.102628428821141</v>
      </c>
      <c r="K391" s="1466">
        <v>42448</v>
      </c>
      <c r="L391" s="1467"/>
      <c r="M391" s="1468">
        <v>0</v>
      </c>
      <c r="N391" s="1469">
        <v>1.1444503083706732</v>
      </c>
      <c r="O391" s="1469">
        <v>1.1444503083706732</v>
      </c>
    </row>
    <row r="392" spans="2:15">
      <c r="B392" s="1385">
        <v>44348</v>
      </c>
      <c r="C392" s="1386">
        <v>1075.7329999999999</v>
      </c>
      <c r="D392" s="1386">
        <v>5769.98</v>
      </c>
      <c r="E392" s="1386">
        <v>1.0030777896833167</v>
      </c>
      <c r="F392" s="1386">
        <v>61.290689468222901</v>
      </c>
      <c r="K392" s="1466">
        <v>42449</v>
      </c>
      <c r="L392" s="1467"/>
      <c r="M392" s="1468">
        <v>0</v>
      </c>
      <c r="N392" s="1469">
        <v>1.1444503083706732</v>
      </c>
      <c r="O392" s="1469">
        <v>1.1444503083706732</v>
      </c>
    </row>
    <row r="393" spans="2:15">
      <c r="B393" s="1385">
        <v>44378</v>
      </c>
      <c r="C393" s="1386">
        <v>1084.095</v>
      </c>
      <c r="D393" s="1386">
        <v>5825.37</v>
      </c>
      <c r="E393" s="1386">
        <v>1.003556161780192</v>
      </c>
      <c r="F393" s="1386">
        <v>61.508649075591414</v>
      </c>
      <c r="K393" s="1466">
        <v>42450</v>
      </c>
      <c r="L393" s="1467" t="s">
        <v>2127</v>
      </c>
      <c r="M393" s="1468">
        <v>5.2531000000000001E-2</v>
      </c>
      <c r="N393" s="1469">
        <v>1.1450514995621635</v>
      </c>
      <c r="O393" s="1469">
        <v>1.1450514995621635</v>
      </c>
    </row>
    <row r="394" spans="2:15">
      <c r="B394" s="1385">
        <v>44409</v>
      </c>
      <c r="C394" s="1386">
        <v>1091.29</v>
      </c>
      <c r="D394" s="1386">
        <v>5876.05</v>
      </c>
      <c r="E394" s="1386">
        <v>1.0042795247734253</v>
      </c>
      <c r="F394" s="1386">
        <v>61.771876863090334</v>
      </c>
      <c r="K394" s="1466">
        <v>42451</v>
      </c>
      <c r="L394" s="1467" t="s">
        <v>2127</v>
      </c>
      <c r="M394" s="1468">
        <v>5.2531000000000001E-2</v>
      </c>
      <c r="N394" s="1469">
        <v>1.1456530065653985</v>
      </c>
      <c r="O394" s="1469">
        <v>1.1456530065653985</v>
      </c>
    </row>
    <row r="395" spans="2:15">
      <c r="B395" s="1385">
        <v>44440</v>
      </c>
      <c r="C395" s="1386">
        <v>1084.3119999999999</v>
      </c>
      <c r="D395" s="1386">
        <v>5944.21</v>
      </c>
      <c r="E395" s="1386">
        <v>1.0044199933223523</v>
      </c>
      <c r="F395" s="1386">
        <v>62.044908146334365</v>
      </c>
      <c r="K395" s="1466">
        <v>42452</v>
      </c>
      <c r="L395" s="1467" t="s">
        <v>2127</v>
      </c>
      <c r="M395" s="1468">
        <v>5.2531000000000001E-2</v>
      </c>
      <c r="N395" s="1469">
        <v>1.1462548295462773</v>
      </c>
      <c r="O395" s="1469">
        <v>1.1462548295462773</v>
      </c>
    </row>
    <row r="396" spans="2:15">
      <c r="B396" s="1385">
        <v>44470</v>
      </c>
      <c r="C396" s="1386">
        <v>1091.2829999999999</v>
      </c>
      <c r="D396" s="1386">
        <v>6018.51</v>
      </c>
      <c r="E396" s="1386">
        <v>1.0048599610251685</v>
      </c>
      <c r="F396" s="1386">
        <v>62.34644398173571</v>
      </c>
      <c r="K396" s="1466">
        <v>42453</v>
      </c>
      <c r="L396" s="1467" t="s">
        <v>2127</v>
      </c>
      <c r="M396" s="1468">
        <v>5.2531000000000001E-2</v>
      </c>
      <c r="N396" s="1469">
        <v>1.1468569686707863</v>
      </c>
      <c r="O396" s="1469">
        <v>1.1468569686707863</v>
      </c>
    </row>
    <row r="397" spans="2:15">
      <c r="B397" s="1385">
        <v>44501</v>
      </c>
      <c r="C397" s="1386">
        <v>1091.4829999999999</v>
      </c>
      <c r="D397" s="1386">
        <v>6075.69</v>
      </c>
      <c r="E397" s="1386">
        <v>1.0058674909390046</v>
      </c>
      <c r="F397" s="1386">
        <v>62.712261176877703</v>
      </c>
      <c r="K397" s="1466">
        <v>42454</v>
      </c>
      <c r="L397" s="1467"/>
      <c r="M397" s="1468">
        <v>0</v>
      </c>
      <c r="N397" s="1469">
        <v>1.1468569686707863</v>
      </c>
      <c r="O397" s="1469">
        <v>1.1468569686707863</v>
      </c>
    </row>
    <row r="398" spans="2:15">
      <c r="B398" s="1385">
        <v>44531</v>
      </c>
      <c r="C398" s="1386">
        <v>1100.9880000000001</v>
      </c>
      <c r="D398" s="1386">
        <v>6120.04</v>
      </c>
      <c r="E398" s="1386">
        <v>1.0076908308186336</v>
      </c>
      <c r="F398" s="1386">
        <v>63.194570567843037</v>
      </c>
      <c r="K398" s="1466">
        <v>42455</v>
      </c>
      <c r="L398" s="1467"/>
      <c r="M398" s="1468">
        <v>0</v>
      </c>
      <c r="N398" s="1469">
        <v>1.1468569686707863</v>
      </c>
      <c r="O398" s="1469">
        <v>1.1468569686707863</v>
      </c>
    </row>
    <row r="399" spans="2:15">
      <c r="B399" s="1385">
        <v>44562</v>
      </c>
      <c r="C399" s="1386">
        <v>1120.999</v>
      </c>
      <c r="D399" s="1386">
        <v>6153.09</v>
      </c>
      <c r="E399" s="1386">
        <v>1.0073227032460901</v>
      </c>
      <c r="F399" s="1386">
        <v>63.65732565487545</v>
      </c>
      <c r="K399" s="1466">
        <v>42456</v>
      </c>
      <c r="L399" s="1467"/>
      <c r="M399" s="1468">
        <v>0</v>
      </c>
      <c r="N399" s="1469">
        <v>1.1468569686707863</v>
      </c>
      <c r="O399" s="1469">
        <v>1.1468569686707863</v>
      </c>
    </row>
    <row r="400" spans="2:15">
      <c r="B400" s="1385">
        <v>44593</v>
      </c>
      <c r="C400" s="1386">
        <v>1141.546</v>
      </c>
      <c r="D400" s="1386">
        <v>6215.24</v>
      </c>
      <c r="E400" s="1386">
        <v>1.0075504098703885</v>
      </c>
      <c r="F400" s="1386">
        <v>64.13796455482256</v>
      </c>
      <c r="K400" s="1466">
        <v>42457</v>
      </c>
      <c r="L400" s="1467" t="s">
        <v>2127</v>
      </c>
      <c r="M400" s="1468">
        <v>5.2531000000000001E-2</v>
      </c>
      <c r="N400" s="1469">
        <v>1.1474594241049989</v>
      </c>
      <c r="O400" s="1469">
        <v>1.1474594241049989</v>
      </c>
    </row>
    <row r="401" spans="2:15">
      <c r="B401" s="1385">
        <v>44621</v>
      </c>
      <c r="C401" s="1386">
        <v>1161.4179999999999</v>
      </c>
      <c r="D401" s="1386">
        <v>6315.93</v>
      </c>
      <c r="E401" s="1386">
        <v>1.0092705386289318</v>
      </c>
      <c r="F401" s="1386">
        <v>64.732558032809095</v>
      </c>
      <c r="K401" s="1466">
        <v>42458</v>
      </c>
      <c r="L401" s="1467" t="s">
        <v>2127</v>
      </c>
      <c r="M401" s="1468">
        <v>5.2531000000000001E-2</v>
      </c>
      <c r="N401" s="1469">
        <v>1.1480621960150754</v>
      </c>
      <c r="O401" s="1469">
        <v>1.1480621960150754</v>
      </c>
    </row>
    <row r="402" spans="2:15">
      <c r="B402" s="1385">
        <v>44652</v>
      </c>
      <c r="C402" s="1386">
        <v>1177.809</v>
      </c>
      <c r="D402" s="1386">
        <v>6382.88</v>
      </c>
      <c r="E402" s="1386">
        <v>1.0083432052372134</v>
      </c>
      <c r="F402" s="1386">
        <v>65.272635050006656</v>
      </c>
      <c r="K402" s="1466">
        <v>42459</v>
      </c>
      <c r="L402" s="1467" t="s">
        <v>2127</v>
      </c>
      <c r="M402" s="1468">
        <v>5.2531000000000001E-2</v>
      </c>
      <c r="N402" s="1469">
        <v>1.148665284567264</v>
      </c>
      <c r="O402" s="1469">
        <v>1.148665284567264</v>
      </c>
    </row>
    <row r="403" spans="2:15">
      <c r="B403" s="1385">
        <v>44682</v>
      </c>
      <c r="C403" s="1386">
        <v>1183.953</v>
      </c>
      <c r="D403" s="1386">
        <v>6412.88</v>
      </c>
      <c r="E403" s="1386">
        <v>1.0103459230153136</v>
      </c>
      <c r="F403" s="1386">
        <v>65.947940707240676</v>
      </c>
      <c r="K403" s="1466">
        <v>42460</v>
      </c>
      <c r="L403" s="1467" t="s">
        <v>2127</v>
      </c>
      <c r="M403" s="1468">
        <v>5.2531000000000001E-2</v>
      </c>
      <c r="N403" s="1469">
        <v>1.1492686899279001</v>
      </c>
      <c r="O403" s="1469">
        <v>1.1492686899279001</v>
      </c>
    </row>
    <row r="404" spans="2:15">
      <c r="B404" s="1385">
        <v>44713</v>
      </c>
      <c r="C404" s="1386">
        <v>1190.8820000000001</v>
      </c>
      <c r="D404" s="1386">
        <v>6455.85</v>
      </c>
      <c r="E404" s="1386">
        <v>1.0101531560893695</v>
      </c>
      <c r="F404" s="1386">
        <v>66.617520443013774</v>
      </c>
      <c r="K404" s="1466">
        <v>42461</v>
      </c>
      <c r="L404" s="1467" t="s">
        <v>2127</v>
      </c>
      <c r="M404" s="1468">
        <v>5.2531000000000001E-2</v>
      </c>
      <c r="N404" s="1469">
        <v>1.1498724122634061</v>
      </c>
      <c r="O404" s="1469">
        <v>1.1498724122634061</v>
      </c>
    </row>
    <row r="405" spans="2:15">
      <c r="B405" s="1385">
        <v>44743</v>
      </c>
      <c r="C405" s="1386">
        <v>1193.337</v>
      </c>
      <c r="D405" s="1386">
        <v>6411.95</v>
      </c>
      <c r="E405" s="1386">
        <v>1.0103484243492924</v>
      </c>
      <c r="F405" s="1386">
        <v>67.306906813655743</v>
      </c>
      <c r="K405" s="1466">
        <v>42462</v>
      </c>
      <c r="L405" s="1467"/>
      <c r="M405" s="1468">
        <v>0</v>
      </c>
      <c r="N405" s="1469">
        <v>1.1498724122634061</v>
      </c>
      <c r="O405" s="1469">
        <v>1.1498724122634061</v>
      </c>
    </row>
    <row r="406" spans="2:15">
      <c r="B406" s="1385">
        <v>44774</v>
      </c>
      <c r="C406" s="1386">
        <v>1185.0039999999999</v>
      </c>
      <c r="D406" s="1386">
        <v>6388.87</v>
      </c>
      <c r="E406" s="1386">
        <v>1.0116936128000631</v>
      </c>
      <c r="F406" s="1386">
        <v>68.093967720704555</v>
      </c>
      <c r="K406" s="1466">
        <v>42463</v>
      </c>
      <c r="L406" s="1467"/>
      <c r="M406" s="1468">
        <v>0</v>
      </c>
      <c r="N406" s="1469">
        <v>1.1498724122634061</v>
      </c>
      <c r="O406" s="1469">
        <v>1.1498724122634061</v>
      </c>
    </row>
    <row r="407" spans="2:15">
      <c r="B407" s="1385">
        <v>44805</v>
      </c>
      <c r="C407" s="1386">
        <v>1188.5886370999999</v>
      </c>
      <c r="D407" s="1386">
        <v>6404.6441200300005</v>
      </c>
      <c r="E407" s="1386">
        <v>1.010719822473549</v>
      </c>
      <c r="F407" s="1386">
        <v>68.823922966190082</v>
      </c>
      <c r="K407" s="1466">
        <v>42464</v>
      </c>
      <c r="L407" s="1467" t="s">
        <v>2127</v>
      </c>
      <c r="M407" s="1468">
        <v>5.2531000000000001E-2</v>
      </c>
      <c r="N407" s="1469">
        <v>1.1504764517402921</v>
      </c>
      <c r="O407" s="1469">
        <v>1.1504764517402921</v>
      </c>
    </row>
    <row r="408" spans="2:15">
      <c r="B408" s="1385">
        <v>44835</v>
      </c>
      <c r="C408" s="1386">
        <v>1195.4598680110751</v>
      </c>
      <c r="D408" s="1386">
        <v>6437.1220703626732</v>
      </c>
      <c r="E408" s="1386">
        <v>1.0102067586649579</v>
      </c>
      <c r="F408" s="1386">
        <v>69.526392138281636</v>
      </c>
      <c r="K408" s="1466">
        <v>42465</v>
      </c>
      <c r="L408" s="1467" t="s">
        <v>2127</v>
      </c>
      <c r="M408" s="1468">
        <v>5.2531000000000001E-2</v>
      </c>
      <c r="N408" s="1469">
        <v>1.1510808085251558</v>
      </c>
      <c r="O408" s="1469">
        <v>1.1510808085251558</v>
      </c>
    </row>
    <row r="409" spans="2:15">
      <c r="B409" s="1385">
        <v>44866</v>
      </c>
      <c r="C409" s="1386">
        <v>1202.90399660918</v>
      </c>
      <c r="D409" s="1386">
        <v>6470.2603747808998</v>
      </c>
      <c r="E409" s="1386">
        <v>1.0102067586649579</v>
      </c>
      <c r="F409" s="1386">
        <v>70.236031243682305</v>
      </c>
      <c r="K409" s="1466">
        <v>42466</v>
      </c>
      <c r="L409" s="1467" t="s">
        <v>2127</v>
      </c>
      <c r="M409" s="1468">
        <v>5.2531000000000001E-2</v>
      </c>
      <c r="N409" s="1469">
        <v>1.1516854827846821</v>
      </c>
      <c r="O409" s="1469">
        <v>1.1516854827846821</v>
      </c>
    </row>
    <row r="410" spans="2:15">
      <c r="B410" s="1385">
        <v>44896</v>
      </c>
      <c r="C410" s="1386">
        <v>1210.0636811969978</v>
      </c>
      <c r="D410" s="1386">
        <v>6518.3732309277702</v>
      </c>
      <c r="E410" s="1386">
        <v>1.0112331468569864</v>
      </c>
      <c r="F410" s="1386">
        <v>71.02500289729447</v>
      </c>
      <c r="K410" s="1466">
        <v>42467</v>
      </c>
      <c r="L410" s="1467" t="s">
        <v>2127</v>
      </c>
      <c r="M410" s="1468">
        <v>5.2531000000000001E-2</v>
      </c>
      <c r="N410" s="1469">
        <v>1.1522904746856437</v>
      </c>
      <c r="O410" s="1469">
        <v>1.1522904746856437</v>
      </c>
    </row>
    <row r="411" spans="2:15">
      <c r="B411" s="1385">
        <v>44927</v>
      </c>
      <c r="C411" s="1386">
        <v>1216.2204852069281</v>
      </c>
      <c r="D411" s="1386">
        <v>6562.8546098556208</v>
      </c>
      <c r="E411" s="1386">
        <v>1.0112331468569866</v>
      </c>
      <c r="F411" s="1386">
        <v>71.822837185357685</v>
      </c>
      <c r="K411" s="1466">
        <v>42468</v>
      </c>
      <c r="L411" s="1467" t="s">
        <v>2127</v>
      </c>
      <c r="M411" s="1468">
        <v>5.2531000000000001E-2</v>
      </c>
      <c r="N411" s="1469">
        <v>1.1528957843949008</v>
      </c>
      <c r="O411" s="1469">
        <v>1.1528957843949008</v>
      </c>
    </row>
    <row r="412" spans="2:15">
      <c r="B412" s="1385">
        <v>44958</v>
      </c>
      <c r="C412" s="1386">
        <v>1221.2130702987026</v>
      </c>
      <c r="D412" s="1386">
        <v>6605.2243992168487</v>
      </c>
      <c r="E412" s="1386">
        <v>1.0091814122432907</v>
      </c>
      <c r="F412" s="1386">
        <v>72.482272262039203</v>
      </c>
      <c r="K412" s="1466">
        <v>42469</v>
      </c>
      <c r="L412" s="1467"/>
      <c r="M412" s="1468">
        <v>0</v>
      </c>
      <c r="N412" s="1469">
        <v>1.1528957843949008</v>
      </c>
      <c r="O412" s="1469">
        <v>1.1528957843949008</v>
      </c>
    </row>
    <row r="413" spans="2:15">
      <c r="B413" s="1385">
        <v>44986</v>
      </c>
      <c r="C413" s="1386">
        <v>1226.0405255655935</v>
      </c>
      <c r="D413" s="1386">
        <v>6636.5860046643302</v>
      </c>
      <c r="E413" s="1386">
        <v>1.0117467319476126</v>
      </c>
      <c r="F413" s="1386">
        <v>73.333702085255254</v>
      </c>
      <c r="K413" s="1466">
        <v>42470</v>
      </c>
      <c r="L413" s="1467"/>
      <c r="M413" s="1468">
        <v>0</v>
      </c>
      <c r="N413" s="1469">
        <v>1.1528957843949008</v>
      </c>
      <c r="O413" s="1469">
        <v>1.1528957843949008</v>
      </c>
    </row>
    <row r="414" spans="2:15">
      <c r="B414" s="1385">
        <v>45017</v>
      </c>
      <c r="C414" s="1386">
        <v>1230.1955769067354</v>
      </c>
      <c r="D414" s="1386">
        <v>6667.1143002857852</v>
      </c>
      <c r="E414" s="1386">
        <v>1.0091814122432907</v>
      </c>
      <c r="F414" s="1386">
        <v>74.007009035426648</v>
      </c>
      <c r="K414" s="1466">
        <v>42471</v>
      </c>
      <c r="L414" s="1467" t="s">
        <v>2127</v>
      </c>
      <c r="M414" s="1468">
        <v>5.2531000000000001E-2</v>
      </c>
      <c r="N414" s="1469">
        <v>1.1535014120794014</v>
      </c>
      <c r="O414" s="1469">
        <v>1.1535014120794014</v>
      </c>
    </row>
    <row r="415" spans="2:15">
      <c r="B415" s="1385">
        <v>45047</v>
      </c>
      <c r="C415" s="1386">
        <v>1233.7926687736106</v>
      </c>
      <c r="D415" s="1386">
        <v>6689.8024902496581</v>
      </c>
      <c r="E415" s="1386">
        <v>1.0112331468569866</v>
      </c>
      <c r="F415" s="1386">
        <v>74.838340636367931</v>
      </c>
      <c r="K415" s="1466">
        <v>42472</v>
      </c>
      <c r="L415" s="1467" t="s">
        <v>2127</v>
      </c>
      <c r="M415" s="1468">
        <v>5.2531000000000001E-2</v>
      </c>
      <c r="N415" s="1469">
        <v>1.1541073579061809</v>
      </c>
      <c r="O415" s="1469">
        <v>1.1541073579061809</v>
      </c>
    </row>
    <row r="416" spans="2:15">
      <c r="B416" s="1385">
        <v>45078</v>
      </c>
      <c r="C416" s="1386">
        <v>1238.0924362242865</v>
      </c>
      <c r="D416" s="1386">
        <v>6710.8887476989257</v>
      </c>
      <c r="E416" s="1386">
        <v>1.010719822473549</v>
      </c>
      <c r="F416" s="1386">
        <v>75.64059436220478</v>
      </c>
      <c r="K416" s="1466">
        <v>42473</v>
      </c>
      <c r="L416" s="1467" t="s">
        <v>2127</v>
      </c>
      <c r="M416" s="1468">
        <v>5.2531000000000001E-2</v>
      </c>
      <c r="N416" s="1469">
        <v>1.1547136220423626</v>
      </c>
      <c r="O416" s="1469">
        <v>1.1547136220423626</v>
      </c>
    </row>
    <row r="417" spans="2:15">
      <c r="B417" s="1385">
        <v>45108</v>
      </c>
      <c r="C417" s="1386">
        <v>1241.6878566590819</v>
      </c>
      <c r="D417" s="1386">
        <v>6731.658948373054</v>
      </c>
      <c r="E417" s="1386">
        <v>1.0107198224735483</v>
      </c>
      <c r="F417" s="1386">
        <v>76.451448105561298</v>
      </c>
      <c r="K417" s="1466">
        <v>42474</v>
      </c>
      <c r="L417" s="1467" t="s">
        <v>2127</v>
      </c>
      <c r="M417" s="1468">
        <v>5.2531000000000001E-2</v>
      </c>
      <c r="N417" s="1469">
        <v>1.1553202046551576</v>
      </c>
      <c r="O417" s="1469">
        <v>1.1553202046551576</v>
      </c>
    </row>
    <row r="418" spans="2:15">
      <c r="B418" s="1385">
        <v>45139</v>
      </c>
      <c r="C418" s="1386">
        <v>1245.6153153496946</v>
      </c>
      <c r="D418" s="1386">
        <v>6747.6399067164921</v>
      </c>
      <c r="E418" s="1386">
        <v>1.0117467319476126</v>
      </c>
      <c r="F418" s="1386">
        <v>77.349502773464138</v>
      </c>
      <c r="K418" s="1466">
        <v>42475</v>
      </c>
      <c r="L418" s="1467" t="s">
        <v>2127</v>
      </c>
      <c r="M418" s="1468">
        <v>5.2531000000000001E-2</v>
      </c>
      <c r="N418" s="1469">
        <v>1.155927105911865</v>
      </c>
      <c r="O418" s="1469">
        <v>1.155927105911865</v>
      </c>
    </row>
    <row r="419" spans="2:15">
      <c r="B419" s="1385">
        <v>45170</v>
      </c>
      <c r="C419" s="1386">
        <v>1251.1570578876854</v>
      </c>
      <c r="D419" s="1386">
        <v>6769.6169698926678</v>
      </c>
      <c r="E419" s="1386">
        <v>1.0102067586649579</v>
      </c>
      <c r="F419" s="1386">
        <v>78.138990481127379</v>
      </c>
      <c r="K419" s="1466">
        <v>42476</v>
      </c>
      <c r="L419" s="1467"/>
      <c r="M419" s="1468">
        <v>0</v>
      </c>
      <c r="N419" s="1469">
        <v>1.155927105911865</v>
      </c>
      <c r="O419" s="1469">
        <v>1.155927105911865</v>
      </c>
    </row>
    <row r="420" spans="2:15">
      <c r="B420" s="1385">
        <v>45200</v>
      </c>
      <c r="C420" s="1386">
        <v>1257.0750307714941</v>
      </c>
      <c r="D420" s="1386">
        <v>6796.3637265407142</v>
      </c>
      <c r="E420" s="1386">
        <v>1.0107198224735487</v>
      </c>
      <c r="F420" s="1386">
        <v>78.976626587347383</v>
      </c>
      <c r="K420" s="1466">
        <v>42477</v>
      </c>
      <c r="L420" s="1467"/>
      <c r="M420" s="1468">
        <v>0</v>
      </c>
      <c r="N420" s="1469">
        <v>1.155927105911865</v>
      </c>
      <c r="O420" s="1469">
        <v>1.155927105911865</v>
      </c>
    </row>
    <row r="421" spans="2:15">
      <c r="B421" s="1385">
        <v>45231</v>
      </c>
      <c r="C421" s="1386">
        <v>1262.6702717334581</v>
      </c>
      <c r="D421" s="1386">
        <v>6821.4830868740082</v>
      </c>
      <c r="E421" s="1386">
        <v>1.0102067586649577</v>
      </c>
      <c r="F421" s="1386">
        <v>79.782721955096918</v>
      </c>
      <c r="K421" s="1466">
        <v>42478</v>
      </c>
      <c r="L421" s="1467" t="s">
        <v>2127</v>
      </c>
      <c r="M421" s="1468">
        <v>5.2531000000000001E-2</v>
      </c>
      <c r="N421" s="1469">
        <v>1.1565343259798715</v>
      </c>
      <c r="O421" s="1469">
        <v>1.1565343259798715</v>
      </c>
    </row>
    <row r="422" spans="2:15">
      <c r="B422" s="1385">
        <v>45261</v>
      </c>
      <c r="C422" s="1386">
        <v>1268.1742514479442</v>
      </c>
      <c r="D422" s="1386">
        <v>6857.9166280410027</v>
      </c>
      <c r="E422" s="1386">
        <v>1.0102067586649579</v>
      </c>
      <c r="F422" s="1386">
        <v>80.597044943726033</v>
      </c>
      <c r="K422" s="1466">
        <v>42479</v>
      </c>
      <c r="L422" s="1467" t="s">
        <v>2127</v>
      </c>
      <c r="M422" s="1468">
        <v>5.2531000000000001E-2</v>
      </c>
      <c r="N422" s="1469">
        <v>1.1571418650266521</v>
      </c>
      <c r="O422" s="1469">
        <v>1.1571418650266521</v>
      </c>
    </row>
    <row r="423" spans="2:15">
      <c r="B423" s="1385">
        <v>45292</v>
      </c>
      <c r="C423" s="1386" t="e">
        <v>#N/A</v>
      </c>
      <c r="D423" s="1386" t="e">
        <v>#N/A</v>
      </c>
      <c r="E423" s="1386" t="e">
        <v>#N/A</v>
      </c>
      <c r="F423" s="1386" t="e">
        <f t="shared" ref="F423:F483" si="0">F422*E423</f>
        <v>#N/A</v>
      </c>
      <c r="K423" s="1466">
        <v>42480</v>
      </c>
      <c r="L423" s="1467" t="s">
        <v>2127</v>
      </c>
      <c r="M423" s="1468">
        <v>5.2531000000000001E-2</v>
      </c>
      <c r="N423" s="1469">
        <v>1.1577497232197693</v>
      </c>
      <c r="O423" s="1469">
        <v>1.1577497232197693</v>
      </c>
    </row>
    <row r="424" spans="2:15">
      <c r="B424" s="1385">
        <v>45323</v>
      </c>
      <c r="C424" s="1386" t="e">
        <v>#N/A</v>
      </c>
      <c r="D424" s="1386" t="e">
        <v>#N/A</v>
      </c>
      <c r="E424" s="1386" t="e">
        <v>#N/A</v>
      </c>
      <c r="F424" s="1386" t="e">
        <f t="shared" si="0"/>
        <v>#N/A</v>
      </c>
      <c r="K424" s="1466">
        <v>42481</v>
      </c>
      <c r="L424" s="1467"/>
      <c r="M424" s="1468">
        <v>0</v>
      </c>
      <c r="N424" s="1469">
        <v>1.1577497232197693</v>
      </c>
      <c r="O424" s="1469">
        <v>1.1577497232197693</v>
      </c>
    </row>
    <row r="425" spans="2:15">
      <c r="B425" s="1385">
        <v>45352</v>
      </c>
      <c r="C425" s="1386" t="e">
        <v>#N/A</v>
      </c>
      <c r="D425" s="1386" t="e">
        <v>#N/A</v>
      </c>
      <c r="E425" s="1386" t="e">
        <v>#N/A</v>
      </c>
      <c r="F425" s="1386" t="e">
        <f t="shared" si="0"/>
        <v>#N/A</v>
      </c>
      <c r="K425" s="1466">
        <v>42482</v>
      </c>
      <c r="L425" s="1467" t="s">
        <v>2127</v>
      </c>
      <c r="M425" s="1468">
        <v>5.2531000000000001E-2</v>
      </c>
      <c r="N425" s="1469">
        <v>1.1583579007268738</v>
      </c>
      <c r="O425" s="1469">
        <v>1.1583579007268738</v>
      </c>
    </row>
    <row r="426" spans="2:15">
      <c r="B426" s="1385">
        <v>45383</v>
      </c>
      <c r="C426" s="1386" t="e">
        <v>#N/A</v>
      </c>
      <c r="D426" s="1386" t="e">
        <v>#N/A</v>
      </c>
      <c r="E426" s="1386" t="e">
        <v>#N/A</v>
      </c>
      <c r="F426" s="1386" t="e">
        <f t="shared" si="0"/>
        <v>#N/A</v>
      </c>
      <c r="K426" s="1466">
        <v>42483</v>
      </c>
      <c r="L426" s="1467"/>
      <c r="M426" s="1468">
        <v>0</v>
      </c>
      <c r="N426" s="1469">
        <v>1.1583579007268738</v>
      </c>
      <c r="O426" s="1469">
        <v>1.1583579007268738</v>
      </c>
    </row>
    <row r="427" spans="2:15">
      <c r="B427" s="1385">
        <v>45413</v>
      </c>
      <c r="C427" s="1386" t="e">
        <v>#N/A</v>
      </c>
      <c r="D427" s="1386" t="e">
        <v>#N/A</v>
      </c>
      <c r="E427" s="1386" t="e">
        <v>#N/A</v>
      </c>
      <c r="F427" s="1386" t="e">
        <f t="shared" si="0"/>
        <v>#N/A</v>
      </c>
      <c r="K427" s="1466">
        <v>42484</v>
      </c>
      <c r="L427" s="1467"/>
      <c r="M427" s="1468">
        <v>0</v>
      </c>
      <c r="N427" s="1469">
        <v>1.1583579007268738</v>
      </c>
      <c r="O427" s="1469">
        <v>1.1583579007268738</v>
      </c>
    </row>
    <row r="428" spans="2:15">
      <c r="B428" s="1385">
        <v>45444</v>
      </c>
      <c r="C428" s="1386" t="e">
        <v>#N/A</v>
      </c>
      <c r="D428" s="1386" t="e">
        <v>#N/A</v>
      </c>
      <c r="E428" s="1386" t="e">
        <v>#N/A</v>
      </c>
      <c r="F428" s="1386" t="e">
        <f t="shared" si="0"/>
        <v>#N/A</v>
      </c>
      <c r="K428" s="1466">
        <v>42485</v>
      </c>
      <c r="L428" s="1467" t="s">
        <v>2127</v>
      </c>
      <c r="M428" s="1468">
        <v>5.2531000000000001E-2</v>
      </c>
      <c r="N428" s="1469">
        <v>1.1589663977157048</v>
      </c>
      <c r="O428" s="1469">
        <v>1.1589663977157048</v>
      </c>
    </row>
    <row r="429" spans="2:15">
      <c r="B429" s="1385">
        <v>45474</v>
      </c>
      <c r="C429" s="1386" t="e">
        <v>#N/A</v>
      </c>
      <c r="D429" s="1386" t="e">
        <v>#N/A</v>
      </c>
      <c r="E429" s="1386" t="e">
        <v>#N/A</v>
      </c>
      <c r="F429" s="1386" t="e">
        <f t="shared" si="0"/>
        <v>#N/A</v>
      </c>
      <c r="K429" s="1466">
        <v>42486</v>
      </c>
      <c r="L429" s="1467" t="s">
        <v>2127</v>
      </c>
      <c r="M429" s="1468">
        <v>5.2531000000000001E-2</v>
      </c>
      <c r="N429" s="1469">
        <v>1.1595752143540887</v>
      </c>
      <c r="O429" s="1469">
        <v>1.1595752143540887</v>
      </c>
    </row>
    <row r="430" spans="2:15">
      <c r="B430" s="1385">
        <v>45505</v>
      </c>
      <c r="C430" s="1386" t="e">
        <v>#N/A</v>
      </c>
      <c r="D430" s="1386" t="e">
        <v>#N/A</v>
      </c>
      <c r="E430" s="1386" t="e">
        <v>#N/A</v>
      </c>
      <c r="F430" s="1386" t="e">
        <f t="shared" si="0"/>
        <v>#N/A</v>
      </c>
      <c r="K430" s="1466">
        <v>42487</v>
      </c>
      <c r="L430" s="1467" t="s">
        <v>2127</v>
      </c>
      <c r="M430" s="1468">
        <v>5.2531000000000001E-2</v>
      </c>
      <c r="N430" s="1469">
        <v>1.160184350809941</v>
      </c>
      <c r="O430" s="1469">
        <v>1.160184350809941</v>
      </c>
    </row>
    <row r="431" spans="2:15">
      <c r="B431" s="1385">
        <v>45536</v>
      </c>
      <c r="C431" s="1386" t="e">
        <v>#N/A</v>
      </c>
      <c r="D431" s="1386" t="e">
        <v>#N/A</v>
      </c>
      <c r="E431" s="1386" t="e">
        <v>#N/A</v>
      </c>
      <c r="F431" s="1386" t="e">
        <f t="shared" si="0"/>
        <v>#N/A</v>
      </c>
      <c r="K431" s="1466">
        <v>42488</v>
      </c>
      <c r="L431" s="1467" t="s">
        <v>2127</v>
      </c>
      <c r="M431" s="1468">
        <v>5.2531000000000001E-2</v>
      </c>
      <c r="N431" s="1469">
        <v>1.1607938072512649</v>
      </c>
      <c r="O431" s="1469">
        <v>1.1607938072512649</v>
      </c>
    </row>
    <row r="432" spans="2:15">
      <c r="B432" s="1385">
        <v>45566</v>
      </c>
      <c r="C432" s="1386" t="e">
        <v>#N/A</v>
      </c>
      <c r="D432" s="1386" t="e">
        <v>#N/A</v>
      </c>
      <c r="E432" s="1386" t="e">
        <v>#N/A</v>
      </c>
      <c r="F432" s="1386" t="e">
        <f t="shared" si="0"/>
        <v>#N/A</v>
      </c>
      <c r="K432" s="1466">
        <v>42489</v>
      </c>
      <c r="L432" s="1467" t="s">
        <v>2127</v>
      </c>
      <c r="M432" s="1468">
        <v>5.2531000000000001E-2</v>
      </c>
      <c r="N432" s="1469">
        <v>1.1614035838461521</v>
      </c>
      <c r="O432" s="1469">
        <v>1.1614035838461521</v>
      </c>
    </row>
    <row r="433" spans="2:15">
      <c r="B433" s="1385">
        <v>45597</v>
      </c>
      <c r="C433" s="1386" t="e">
        <v>#N/A</v>
      </c>
      <c r="D433" s="1386" t="e">
        <v>#N/A</v>
      </c>
      <c r="E433" s="1386" t="e">
        <v>#N/A</v>
      </c>
      <c r="F433" s="1386" t="e">
        <f t="shared" si="0"/>
        <v>#N/A</v>
      </c>
      <c r="K433" s="1466">
        <v>42490</v>
      </c>
      <c r="L433" s="1467"/>
      <c r="M433" s="1468">
        <v>0</v>
      </c>
      <c r="N433" s="1469">
        <v>1.1614035838461521</v>
      </c>
      <c r="O433" s="1469">
        <v>1.1614035838461521</v>
      </c>
    </row>
    <row r="434" spans="2:15">
      <c r="B434" s="1385">
        <v>45627</v>
      </c>
      <c r="C434" s="1386" t="e">
        <v>#N/A</v>
      </c>
      <c r="D434" s="1386" t="e">
        <v>#N/A</v>
      </c>
      <c r="E434" s="1386" t="e">
        <v>#N/A</v>
      </c>
      <c r="F434" s="1386" t="e">
        <f t="shared" si="0"/>
        <v>#N/A</v>
      </c>
      <c r="K434" s="1466">
        <v>42491</v>
      </c>
      <c r="L434" s="1467"/>
      <c r="M434" s="1468">
        <v>0</v>
      </c>
      <c r="N434" s="1469">
        <v>1.1614035838461521</v>
      </c>
      <c r="O434" s="1469">
        <v>1.1614035838461521</v>
      </c>
    </row>
    <row r="435" spans="2:15">
      <c r="B435" s="1385">
        <v>45658</v>
      </c>
      <c r="C435" s="1386" t="e">
        <v>#N/A</v>
      </c>
      <c r="D435" s="1386" t="e">
        <v>#N/A</v>
      </c>
      <c r="E435" s="1386" t="e">
        <v>#N/A</v>
      </c>
      <c r="F435" s="1386" t="e">
        <f t="shared" si="0"/>
        <v>#N/A</v>
      </c>
      <c r="K435" s="1466">
        <v>42492</v>
      </c>
      <c r="L435" s="1467" t="s">
        <v>2127</v>
      </c>
      <c r="M435" s="1468">
        <v>5.2531000000000001E-2</v>
      </c>
      <c r="N435" s="1469">
        <v>1.1620136807627823</v>
      </c>
      <c r="O435" s="1469">
        <v>1.1620136807627823</v>
      </c>
    </row>
    <row r="436" spans="2:15">
      <c r="B436" s="1385">
        <v>45689</v>
      </c>
      <c r="C436" s="1386" t="e">
        <v>#N/A</v>
      </c>
      <c r="D436" s="1386" t="e">
        <v>#N/A</v>
      </c>
      <c r="E436" s="1386" t="e">
        <v>#N/A</v>
      </c>
      <c r="F436" s="1386" t="e">
        <f t="shared" si="0"/>
        <v>#N/A</v>
      </c>
      <c r="K436" s="1466">
        <v>42493</v>
      </c>
      <c r="L436" s="1467" t="s">
        <v>2127</v>
      </c>
      <c r="M436" s="1468">
        <v>5.2531000000000001E-2</v>
      </c>
      <c r="N436" s="1469">
        <v>1.1626240981694238</v>
      </c>
      <c r="O436" s="1469">
        <v>1.1626240981694238</v>
      </c>
    </row>
    <row r="437" spans="2:15">
      <c r="B437" s="1385">
        <v>45717</v>
      </c>
      <c r="C437" s="1386" t="e">
        <v>#N/A</v>
      </c>
      <c r="D437" s="1386" t="e">
        <v>#N/A</v>
      </c>
      <c r="E437" s="1386" t="e">
        <v>#N/A</v>
      </c>
      <c r="F437" s="1386" t="e">
        <f t="shared" si="0"/>
        <v>#N/A</v>
      </c>
      <c r="K437" s="1466">
        <v>42494</v>
      </c>
      <c r="L437" s="1467" t="s">
        <v>2127</v>
      </c>
      <c r="M437" s="1468">
        <v>5.2531000000000001E-2</v>
      </c>
      <c r="N437" s="1469">
        <v>1.1632348362344331</v>
      </c>
      <c r="O437" s="1469">
        <v>1.1632348362344331</v>
      </c>
    </row>
    <row r="438" spans="2:15">
      <c r="B438" s="1385">
        <v>45748</v>
      </c>
      <c r="C438" s="1386" t="e">
        <v>#N/A</v>
      </c>
      <c r="D438" s="1386" t="e">
        <v>#N/A</v>
      </c>
      <c r="E438" s="1386" t="e">
        <v>#N/A</v>
      </c>
      <c r="F438" s="1386" t="e">
        <f t="shared" si="0"/>
        <v>#N/A</v>
      </c>
      <c r="K438" s="1466">
        <v>42495</v>
      </c>
      <c r="L438" s="1467" t="s">
        <v>2127</v>
      </c>
      <c r="M438" s="1468">
        <v>5.2531000000000001E-2</v>
      </c>
      <c r="N438" s="1469">
        <v>1.1638458951262554</v>
      </c>
      <c r="O438" s="1469">
        <v>1.1638458951262554</v>
      </c>
    </row>
    <row r="439" spans="2:15">
      <c r="B439" s="1385">
        <v>45778</v>
      </c>
      <c r="C439" s="1386" t="e">
        <v>#N/A</v>
      </c>
      <c r="D439" s="1386" t="e">
        <v>#N/A</v>
      </c>
      <c r="E439" s="1386" t="e">
        <v>#N/A</v>
      </c>
      <c r="F439" s="1386" t="e">
        <f t="shared" si="0"/>
        <v>#N/A</v>
      </c>
      <c r="K439" s="1466">
        <v>42496</v>
      </c>
      <c r="L439" s="1467" t="s">
        <v>2127</v>
      </c>
      <c r="M439" s="1468">
        <v>5.2531000000000001E-2</v>
      </c>
      <c r="N439" s="1469">
        <v>1.1644572750134241</v>
      </c>
      <c r="O439" s="1469">
        <v>1.1644572750134241</v>
      </c>
    </row>
    <row r="440" spans="2:15">
      <c r="B440" s="1385">
        <v>45809</v>
      </c>
      <c r="C440" s="1386" t="e">
        <v>#N/A</v>
      </c>
      <c r="D440" s="1386" t="e">
        <v>#N/A</v>
      </c>
      <c r="E440" s="1386" t="e">
        <v>#N/A</v>
      </c>
      <c r="F440" s="1386" t="e">
        <f t="shared" si="0"/>
        <v>#N/A</v>
      </c>
      <c r="K440" s="1466">
        <v>42497</v>
      </c>
      <c r="L440" s="1467"/>
      <c r="M440" s="1468">
        <v>0</v>
      </c>
      <c r="N440" s="1469">
        <v>1.1644572750134241</v>
      </c>
      <c r="O440" s="1469">
        <v>1.1644572750134241</v>
      </c>
    </row>
    <row r="441" spans="2:15">
      <c r="B441" s="1385">
        <v>45839</v>
      </c>
      <c r="C441" s="1386" t="e">
        <v>#N/A</v>
      </c>
      <c r="D441" s="1386" t="e">
        <v>#N/A</v>
      </c>
      <c r="E441" s="1386" t="e">
        <v>#N/A</v>
      </c>
      <c r="F441" s="1386" t="e">
        <f t="shared" si="0"/>
        <v>#N/A</v>
      </c>
      <c r="K441" s="1466">
        <v>42498</v>
      </c>
      <c r="L441" s="1467"/>
      <c r="M441" s="1468">
        <v>0</v>
      </c>
      <c r="N441" s="1469">
        <v>1.1644572750134241</v>
      </c>
      <c r="O441" s="1469">
        <v>1.1644572750134241</v>
      </c>
    </row>
    <row r="442" spans="2:15">
      <c r="B442" s="1385">
        <v>45870</v>
      </c>
      <c r="C442" s="1386" t="e">
        <v>#N/A</v>
      </c>
      <c r="D442" s="1386" t="e">
        <v>#N/A</v>
      </c>
      <c r="E442" s="1386" t="e">
        <v>#N/A</v>
      </c>
      <c r="F442" s="1386" t="e">
        <f t="shared" si="0"/>
        <v>#N/A</v>
      </c>
      <c r="K442" s="1466">
        <v>42499</v>
      </c>
      <c r="L442" s="1467" t="s">
        <v>2127</v>
      </c>
      <c r="M442" s="1468">
        <v>5.2531000000000001E-2</v>
      </c>
      <c r="N442" s="1469">
        <v>1.1650689760645614</v>
      </c>
      <c r="O442" s="1469">
        <v>1.1650689760645614</v>
      </c>
    </row>
    <row r="443" spans="2:15">
      <c r="B443" s="1385">
        <v>45901</v>
      </c>
      <c r="C443" s="1386" t="e">
        <v>#N/A</v>
      </c>
      <c r="D443" s="1386" t="e">
        <v>#N/A</v>
      </c>
      <c r="E443" s="1386" t="e">
        <v>#N/A</v>
      </c>
      <c r="F443" s="1386" t="e">
        <f t="shared" si="0"/>
        <v>#N/A</v>
      </c>
      <c r="K443" s="1466">
        <v>42500</v>
      </c>
      <c r="L443" s="1467" t="s">
        <v>2127</v>
      </c>
      <c r="M443" s="1468">
        <v>5.2531000000000001E-2</v>
      </c>
      <c r="N443" s="1469">
        <v>1.1656809984483778</v>
      </c>
      <c r="O443" s="1469">
        <v>1.1656809984483778</v>
      </c>
    </row>
    <row r="444" spans="2:15">
      <c r="B444" s="1385">
        <v>45931</v>
      </c>
      <c r="C444" s="1386" t="e">
        <v>#N/A</v>
      </c>
      <c r="D444" s="1386" t="e">
        <v>#N/A</v>
      </c>
      <c r="E444" s="1386" t="e">
        <v>#N/A</v>
      </c>
      <c r="F444" s="1386" t="e">
        <f t="shared" si="0"/>
        <v>#N/A</v>
      </c>
      <c r="K444" s="1466">
        <v>42501</v>
      </c>
      <c r="L444" s="1467" t="s">
        <v>2127</v>
      </c>
      <c r="M444" s="1468">
        <v>5.2531000000000001E-2</v>
      </c>
      <c r="N444" s="1469">
        <v>1.1662933423336728</v>
      </c>
      <c r="O444" s="1469">
        <v>1.1662933423336728</v>
      </c>
    </row>
    <row r="445" spans="2:15">
      <c r="B445" s="1385">
        <v>45962</v>
      </c>
      <c r="C445" s="1386" t="e">
        <v>#N/A</v>
      </c>
      <c r="D445" s="1386" t="e">
        <v>#N/A</v>
      </c>
      <c r="E445" s="1386" t="e">
        <v>#N/A</v>
      </c>
      <c r="F445" s="1386" t="e">
        <f t="shared" si="0"/>
        <v>#N/A</v>
      </c>
      <c r="K445" s="1466">
        <v>42502</v>
      </c>
      <c r="L445" s="1467" t="s">
        <v>2127</v>
      </c>
      <c r="M445" s="1468">
        <v>5.2531000000000001E-2</v>
      </c>
      <c r="N445" s="1469">
        <v>1.1669060078893341</v>
      </c>
      <c r="O445" s="1469">
        <v>1.1669060078893341</v>
      </c>
    </row>
    <row r="446" spans="2:15">
      <c r="B446" s="1385">
        <v>45992</v>
      </c>
      <c r="C446" s="1386" t="e">
        <v>#N/A</v>
      </c>
      <c r="D446" s="1386" t="e">
        <v>#N/A</v>
      </c>
      <c r="E446" s="1386" t="e">
        <v>#N/A</v>
      </c>
      <c r="F446" s="1386" t="e">
        <f t="shared" si="0"/>
        <v>#N/A</v>
      </c>
      <c r="K446" s="1466">
        <v>42503</v>
      </c>
      <c r="L446" s="1467" t="s">
        <v>2127</v>
      </c>
      <c r="M446" s="1468">
        <v>5.2531000000000001E-2</v>
      </c>
      <c r="N446" s="1469">
        <v>1.1675189952843383</v>
      </c>
      <c r="O446" s="1469">
        <v>1.1675189952843383</v>
      </c>
    </row>
    <row r="447" spans="2:15">
      <c r="B447" s="1385">
        <v>46023</v>
      </c>
      <c r="C447" s="1386" t="e">
        <v>#N/A</v>
      </c>
      <c r="D447" s="1386" t="e">
        <v>#N/A</v>
      </c>
      <c r="E447" s="1386" t="e">
        <v>#N/A</v>
      </c>
      <c r="F447" s="1386" t="e">
        <f t="shared" si="0"/>
        <v>#N/A</v>
      </c>
      <c r="K447" s="1466">
        <v>42504</v>
      </c>
      <c r="L447" s="1467"/>
      <c r="M447" s="1468">
        <v>0</v>
      </c>
      <c r="N447" s="1469">
        <v>1.1675189952843383</v>
      </c>
      <c r="O447" s="1469">
        <v>1.1675189952843383</v>
      </c>
    </row>
    <row r="448" spans="2:15">
      <c r="B448" s="1385">
        <v>46054</v>
      </c>
      <c r="C448" s="1386" t="e">
        <v>#N/A</v>
      </c>
      <c r="D448" s="1386" t="e">
        <v>#N/A</v>
      </c>
      <c r="E448" s="1386" t="e">
        <v>#N/A</v>
      </c>
      <c r="F448" s="1386" t="e">
        <f t="shared" si="0"/>
        <v>#N/A</v>
      </c>
      <c r="K448" s="1466">
        <v>42505</v>
      </c>
      <c r="L448" s="1467"/>
      <c r="M448" s="1468">
        <v>0</v>
      </c>
      <c r="N448" s="1469">
        <v>1.1675189952843383</v>
      </c>
      <c r="O448" s="1469">
        <v>1.1675189952843383</v>
      </c>
    </row>
    <row r="449" spans="2:15">
      <c r="B449" s="1385">
        <v>46082</v>
      </c>
      <c r="C449" s="1386" t="e">
        <v>#N/A</v>
      </c>
      <c r="D449" s="1386" t="e">
        <v>#N/A</v>
      </c>
      <c r="E449" s="1386" t="e">
        <v>#N/A</v>
      </c>
      <c r="F449" s="1386" t="e">
        <f t="shared" si="0"/>
        <v>#N/A</v>
      </c>
      <c r="K449" s="1466">
        <v>42506</v>
      </c>
      <c r="L449" s="1467" t="s">
        <v>2127</v>
      </c>
      <c r="M449" s="1468">
        <v>5.2531000000000001E-2</v>
      </c>
      <c r="N449" s="1469">
        <v>1.1681323046877512</v>
      </c>
      <c r="O449" s="1469">
        <v>1.1681323046877512</v>
      </c>
    </row>
    <row r="450" spans="2:15">
      <c r="B450" s="1385">
        <v>46113</v>
      </c>
      <c r="C450" s="1386" t="e">
        <v>#N/A</v>
      </c>
      <c r="D450" s="1386" t="e">
        <v>#N/A</v>
      </c>
      <c r="E450" s="1386" t="e">
        <v>#N/A</v>
      </c>
      <c r="F450" s="1386" t="e">
        <f t="shared" si="0"/>
        <v>#N/A</v>
      </c>
      <c r="K450" s="1466">
        <v>42507</v>
      </c>
      <c r="L450" s="1467" t="s">
        <v>2127</v>
      </c>
      <c r="M450" s="1468">
        <v>5.2531000000000001E-2</v>
      </c>
      <c r="N450" s="1469">
        <v>1.1687459362687267</v>
      </c>
      <c r="O450" s="1469">
        <v>1.1687459362687267</v>
      </c>
    </row>
    <row r="451" spans="2:15">
      <c r="B451" s="1385">
        <v>46143</v>
      </c>
      <c r="C451" s="1386" t="e">
        <v>#N/A</v>
      </c>
      <c r="D451" s="1386" t="e">
        <v>#N/A</v>
      </c>
      <c r="E451" s="1386" t="e">
        <v>#N/A</v>
      </c>
      <c r="F451" s="1386" t="e">
        <f t="shared" si="0"/>
        <v>#N/A</v>
      </c>
      <c r="K451" s="1466">
        <v>42508</v>
      </c>
      <c r="L451" s="1467" t="s">
        <v>2127</v>
      </c>
      <c r="M451" s="1468">
        <v>5.2531000000000001E-2</v>
      </c>
      <c r="N451" s="1469">
        <v>1.1693598901965081</v>
      </c>
      <c r="O451" s="1469">
        <v>1.1693598901965081</v>
      </c>
    </row>
    <row r="452" spans="2:15">
      <c r="B452" s="1385">
        <v>46174</v>
      </c>
      <c r="C452" s="1386" t="e">
        <v>#N/A</v>
      </c>
      <c r="D452" s="1386" t="e">
        <v>#N/A</v>
      </c>
      <c r="E452" s="1386" t="e">
        <v>#N/A</v>
      </c>
      <c r="F452" s="1386" t="e">
        <f t="shared" si="0"/>
        <v>#N/A</v>
      </c>
      <c r="K452" s="1466">
        <v>42509</v>
      </c>
      <c r="L452" s="1467" t="s">
        <v>2127</v>
      </c>
      <c r="M452" s="1468">
        <v>5.2531000000000001E-2</v>
      </c>
      <c r="N452" s="1469">
        <v>1.1699741666404273</v>
      </c>
      <c r="O452" s="1469">
        <v>1.1699741666404273</v>
      </c>
    </row>
    <row r="453" spans="2:15">
      <c r="B453" s="1385">
        <v>46204</v>
      </c>
      <c r="C453" s="1386" t="e">
        <v>#N/A</v>
      </c>
      <c r="D453" s="1386" t="e">
        <v>#N/A</v>
      </c>
      <c r="E453" s="1386" t="e">
        <v>#N/A</v>
      </c>
      <c r="F453" s="1386" t="e">
        <f t="shared" si="0"/>
        <v>#N/A</v>
      </c>
      <c r="K453" s="1466">
        <v>42510</v>
      </c>
      <c r="L453" s="1467" t="s">
        <v>2127</v>
      </c>
      <c r="M453" s="1468">
        <v>5.2531000000000001E-2</v>
      </c>
      <c r="N453" s="1469">
        <v>1.1705887657699052</v>
      </c>
      <c r="O453" s="1469">
        <v>1.1705887657699052</v>
      </c>
    </row>
    <row r="454" spans="2:15">
      <c r="B454" s="1385">
        <v>46235</v>
      </c>
      <c r="C454" s="1386" t="e">
        <v>#N/A</v>
      </c>
      <c r="D454" s="1386" t="e">
        <v>#N/A</v>
      </c>
      <c r="E454" s="1386" t="e">
        <v>#N/A</v>
      </c>
      <c r="F454" s="1386" t="e">
        <f t="shared" si="0"/>
        <v>#N/A</v>
      </c>
      <c r="K454" s="1466">
        <v>42511</v>
      </c>
      <c r="L454" s="1467"/>
      <c r="M454" s="1468">
        <v>0</v>
      </c>
      <c r="N454" s="1469">
        <v>1.1705887657699052</v>
      </c>
      <c r="O454" s="1469">
        <v>1.1705887657699052</v>
      </c>
    </row>
    <row r="455" spans="2:15">
      <c r="B455" s="1385">
        <v>46266</v>
      </c>
      <c r="C455" s="1386" t="e">
        <v>#N/A</v>
      </c>
      <c r="D455" s="1386" t="e">
        <v>#N/A</v>
      </c>
      <c r="E455" s="1386" t="e">
        <v>#N/A</v>
      </c>
      <c r="F455" s="1386" t="e">
        <f t="shared" si="0"/>
        <v>#N/A</v>
      </c>
      <c r="K455" s="1466">
        <v>42512</v>
      </c>
      <c r="L455" s="1467"/>
      <c r="M455" s="1468">
        <v>0</v>
      </c>
      <c r="N455" s="1469">
        <v>1.1705887657699052</v>
      </c>
      <c r="O455" s="1469">
        <v>1.1705887657699052</v>
      </c>
    </row>
    <row r="456" spans="2:15">
      <c r="B456" s="1385">
        <v>46296</v>
      </c>
      <c r="C456" s="1386" t="e">
        <v>#N/A</v>
      </c>
      <c r="D456" s="1386" t="e">
        <v>#N/A</v>
      </c>
      <c r="E456" s="1386" t="e">
        <v>#N/A</v>
      </c>
      <c r="F456" s="1386" t="e">
        <f t="shared" si="0"/>
        <v>#N/A</v>
      </c>
      <c r="K456" s="1466">
        <v>42513</v>
      </c>
      <c r="L456" s="1467" t="s">
        <v>2127</v>
      </c>
      <c r="M456" s="1468">
        <v>5.2531000000000001E-2</v>
      </c>
      <c r="N456" s="1469">
        <v>1.1712036877544518</v>
      </c>
      <c r="O456" s="1469">
        <v>1.1712036877544518</v>
      </c>
    </row>
    <row r="457" spans="2:15">
      <c r="B457" s="1385">
        <v>46327</v>
      </c>
      <c r="C457" s="1386" t="e">
        <v>#N/A</v>
      </c>
      <c r="D457" s="1386" t="e">
        <v>#N/A</v>
      </c>
      <c r="E457" s="1386" t="e">
        <v>#N/A</v>
      </c>
      <c r="F457" s="1386" t="e">
        <f t="shared" si="0"/>
        <v>#N/A</v>
      </c>
      <c r="K457" s="1466">
        <v>42514</v>
      </c>
      <c r="L457" s="1467" t="s">
        <v>2127</v>
      </c>
      <c r="M457" s="1468">
        <v>5.2531000000000001E-2</v>
      </c>
      <c r="N457" s="1469">
        <v>1.1718189327636661</v>
      </c>
      <c r="O457" s="1469">
        <v>1.1718189327636661</v>
      </c>
    </row>
    <row r="458" spans="2:15">
      <c r="B458" s="1385">
        <v>46357</v>
      </c>
      <c r="C458" s="1386" t="e">
        <v>#N/A</v>
      </c>
      <c r="D458" s="1386" t="e">
        <v>#N/A</v>
      </c>
      <c r="E458" s="1386" t="e">
        <v>#N/A</v>
      </c>
      <c r="F458" s="1386" t="e">
        <f t="shared" si="0"/>
        <v>#N/A</v>
      </c>
      <c r="K458" s="1466">
        <v>42515</v>
      </c>
      <c r="L458" s="1467" t="s">
        <v>2127</v>
      </c>
      <c r="M458" s="1468">
        <v>5.2531000000000001E-2</v>
      </c>
      <c r="N458" s="1469">
        <v>1.1724345009672361</v>
      </c>
      <c r="O458" s="1469">
        <v>1.1724345009672361</v>
      </c>
    </row>
    <row r="459" spans="2:15">
      <c r="B459" s="1385">
        <v>46388</v>
      </c>
      <c r="C459" s="1386" t="e">
        <v>#N/A</v>
      </c>
      <c r="D459" s="1386" t="e">
        <v>#N/A</v>
      </c>
      <c r="E459" s="1386" t="e">
        <v>#N/A</v>
      </c>
      <c r="F459" s="1386" t="e">
        <f t="shared" si="0"/>
        <v>#N/A</v>
      </c>
      <c r="K459" s="1466">
        <v>42516</v>
      </c>
      <c r="L459" s="1467"/>
      <c r="M459" s="1468">
        <v>0</v>
      </c>
      <c r="N459" s="1469">
        <v>1.1724345009672361</v>
      </c>
      <c r="O459" s="1469">
        <v>1.1724345009672361</v>
      </c>
    </row>
    <row r="460" spans="2:15">
      <c r="B460" s="1385">
        <v>46419</v>
      </c>
      <c r="C460" s="1386" t="e">
        <v>#N/A</v>
      </c>
      <c r="D460" s="1386" t="e">
        <v>#N/A</v>
      </c>
      <c r="E460" s="1386" t="e">
        <v>#N/A</v>
      </c>
      <c r="F460" s="1386" t="e">
        <f t="shared" si="0"/>
        <v>#N/A</v>
      </c>
      <c r="K460" s="1466">
        <v>42517</v>
      </c>
      <c r="L460" s="1467" t="s">
        <v>2127</v>
      </c>
      <c r="M460" s="1468">
        <v>5.2531000000000001E-2</v>
      </c>
      <c r="N460" s="1469">
        <v>1.1730503925349391</v>
      </c>
      <c r="O460" s="1469">
        <v>1.1730503925349391</v>
      </c>
    </row>
    <row r="461" spans="2:15">
      <c r="B461" s="1385">
        <v>46447</v>
      </c>
      <c r="C461" s="1386" t="e">
        <v>#N/A</v>
      </c>
      <c r="D461" s="1386" t="e">
        <v>#N/A</v>
      </c>
      <c r="E461" s="1386" t="e">
        <v>#N/A</v>
      </c>
      <c r="F461" s="1386" t="e">
        <f t="shared" si="0"/>
        <v>#N/A</v>
      </c>
      <c r="K461" s="1466">
        <v>42518</v>
      </c>
      <c r="L461" s="1467"/>
      <c r="M461" s="1468">
        <v>0</v>
      </c>
      <c r="N461" s="1469">
        <v>1.1730503925349391</v>
      </c>
      <c r="O461" s="1469">
        <v>1.1730503925349391</v>
      </c>
    </row>
    <row r="462" spans="2:15">
      <c r="B462" s="1385">
        <v>46478</v>
      </c>
      <c r="C462" s="1386" t="e">
        <v>#N/A</v>
      </c>
      <c r="D462" s="1386" t="e">
        <v>#N/A</v>
      </c>
      <c r="E462" s="1386" t="e">
        <v>#N/A</v>
      </c>
      <c r="F462" s="1386" t="e">
        <f t="shared" si="0"/>
        <v>#N/A</v>
      </c>
      <c r="K462" s="1466">
        <v>42519</v>
      </c>
      <c r="L462" s="1467"/>
      <c r="M462" s="1468">
        <v>0</v>
      </c>
      <c r="N462" s="1469">
        <v>1.1730503925349391</v>
      </c>
      <c r="O462" s="1469">
        <v>1.1730503925349391</v>
      </c>
    </row>
    <row r="463" spans="2:15">
      <c r="B463" s="1385">
        <v>46508</v>
      </c>
      <c r="C463" s="1386" t="e">
        <v>#N/A</v>
      </c>
      <c r="D463" s="1386" t="e">
        <v>#N/A</v>
      </c>
      <c r="E463" s="1386" t="e">
        <v>#N/A</v>
      </c>
      <c r="F463" s="1386" t="e">
        <f t="shared" si="0"/>
        <v>#N/A</v>
      </c>
      <c r="K463" s="1466">
        <v>42520</v>
      </c>
      <c r="L463" s="1467" t="s">
        <v>2127</v>
      </c>
      <c r="M463" s="1468">
        <v>5.2531000000000001E-2</v>
      </c>
      <c r="N463" s="1469">
        <v>1.1736666076366418</v>
      </c>
      <c r="O463" s="1469">
        <v>1.1736666076366418</v>
      </c>
    </row>
    <row r="464" spans="2:15">
      <c r="B464" s="1385">
        <v>46539</v>
      </c>
      <c r="C464" s="1386" t="e">
        <v>#N/A</v>
      </c>
      <c r="D464" s="1386" t="e">
        <v>#N/A</v>
      </c>
      <c r="E464" s="1386" t="e">
        <v>#N/A</v>
      </c>
      <c r="F464" s="1386" t="e">
        <f t="shared" si="0"/>
        <v>#N/A</v>
      </c>
      <c r="K464" s="1466">
        <v>42521</v>
      </c>
      <c r="L464" s="1467" t="s">
        <v>2127</v>
      </c>
      <c r="M464" s="1468">
        <v>5.2531000000000001E-2</v>
      </c>
      <c r="N464" s="1469">
        <v>1.1742831464422994</v>
      </c>
      <c r="O464" s="1469">
        <v>1.1742831464422994</v>
      </c>
    </row>
    <row r="465" spans="2:15">
      <c r="B465" s="1385">
        <v>46569</v>
      </c>
      <c r="C465" s="1386" t="e">
        <v>#N/A</v>
      </c>
      <c r="D465" s="1386" t="e">
        <v>#N/A</v>
      </c>
      <c r="E465" s="1386" t="e">
        <v>#N/A</v>
      </c>
      <c r="F465" s="1386" t="e">
        <f t="shared" si="0"/>
        <v>#N/A</v>
      </c>
      <c r="K465" s="1466">
        <v>42522</v>
      </c>
      <c r="L465" s="1467" t="s">
        <v>2127</v>
      </c>
      <c r="M465" s="1468">
        <v>5.2531000000000001E-2</v>
      </c>
      <c r="N465" s="1469">
        <v>1.174900009121957</v>
      </c>
      <c r="O465" s="1469">
        <v>1.174900009121957</v>
      </c>
    </row>
    <row r="466" spans="2:15">
      <c r="B466" s="1385">
        <v>46600</v>
      </c>
      <c r="C466" s="1386" t="e">
        <v>#N/A</v>
      </c>
      <c r="D466" s="1386" t="e">
        <v>#N/A</v>
      </c>
      <c r="E466" s="1386" t="e">
        <v>#N/A</v>
      </c>
      <c r="F466" s="1386" t="e">
        <f t="shared" si="0"/>
        <v>#N/A</v>
      </c>
      <c r="K466" s="1466">
        <v>42523</v>
      </c>
      <c r="L466" s="1467" t="s">
        <v>2127</v>
      </c>
      <c r="M466" s="1468">
        <v>5.2531000000000001E-2</v>
      </c>
      <c r="N466" s="1469">
        <v>1.1755171958457489</v>
      </c>
      <c r="O466" s="1469">
        <v>1.1755171958457489</v>
      </c>
    </row>
    <row r="467" spans="2:15">
      <c r="B467" s="1385">
        <v>46631</v>
      </c>
      <c r="C467" s="1386" t="e">
        <v>#N/A</v>
      </c>
      <c r="D467" s="1386" t="e">
        <v>#N/A</v>
      </c>
      <c r="E467" s="1386" t="e">
        <v>#N/A</v>
      </c>
      <c r="F467" s="1386" t="e">
        <f t="shared" si="0"/>
        <v>#N/A</v>
      </c>
      <c r="K467" s="1466">
        <v>42524</v>
      </c>
      <c r="L467" s="1467" t="s">
        <v>2127</v>
      </c>
      <c r="M467" s="1468">
        <v>5.2531000000000001E-2</v>
      </c>
      <c r="N467" s="1469">
        <v>1.1761347067838985</v>
      </c>
      <c r="O467" s="1469">
        <v>1.1761347067838985</v>
      </c>
    </row>
    <row r="468" spans="2:15">
      <c r="B468" s="1385">
        <v>46661</v>
      </c>
      <c r="C468" s="1386" t="e">
        <v>#N/A</v>
      </c>
      <c r="D468" s="1386" t="e">
        <v>#N/A</v>
      </c>
      <c r="E468" s="1386" t="e">
        <v>#N/A</v>
      </c>
      <c r="F468" s="1386" t="e">
        <f t="shared" si="0"/>
        <v>#N/A</v>
      </c>
      <c r="K468" s="1466">
        <v>42525</v>
      </c>
      <c r="L468" s="1467"/>
      <c r="M468" s="1468">
        <v>0</v>
      </c>
      <c r="N468" s="1469">
        <v>1.1761347067838985</v>
      </c>
      <c r="O468" s="1469">
        <v>1.1761347067838985</v>
      </c>
    </row>
    <row r="469" spans="2:15">
      <c r="B469" s="1385">
        <v>46692</v>
      </c>
      <c r="C469" s="1386" t="e">
        <v>#N/A</v>
      </c>
      <c r="D469" s="1386" t="e">
        <v>#N/A</v>
      </c>
      <c r="E469" s="1386" t="e">
        <v>#N/A</v>
      </c>
      <c r="F469" s="1386" t="e">
        <f t="shared" si="0"/>
        <v>#N/A</v>
      </c>
      <c r="K469" s="1466">
        <v>42526</v>
      </c>
      <c r="L469" s="1467"/>
      <c r="M469" s="1468">
        <v>0</v>
      </c>
      <c r="N469" s="1469">
        <v>1.1761347067838985</v>
      </c>
      <c r="O469" s="1469">
        <v>1.1761347067838985</v>
      </c>
    </row>
    <row r="470" spans="2:15">
      <c r="B470" s="1385">
        <v>46722</v>
      </c>
      <c r="C470" s="1386" t="e">
        <v>#N/A</v>
      </c>
      <c r="D470" s="1386" t="e">
        <v>#N/A</v>
      </c>
      <c r="E470" s="1386" t="e">
        <v>#N/A</v>
      </c>
      <c r="F470" s="1386" t="e">
        <f t="shared" si="0"/>
        <v>#N/A</v>
      </c>
      <c r="K470" s="1466">
        <v>42527</v>
      </c>
      <c r="L470" s="1467" t="s">
        <v>2127</v>
      </c>
      <c r="M470" s="1468">
        <v>5.2531000000000001E-2</v>
      </c>
      <c r="N470" s="1469">
        <v>1.1767525421067191</v>
      </c>
      <c r="O470" s="1469">
        <v>1.1767525421067191</v>
      </c>
    </row>
    <row r="471" spans="2:15">
      <c r="B471" s="1385">
        <v>46753</v>
      </c>
      <c r="C471" s="1386" t="e">
        <v>#N/A</v>
      </c>
      <c r="D471" s="1386" t="e">
        <v>#N/A</v>
      </c>
      <c r="E471" s="1386" t="e">
        <v>#N/A</v>
      </c>
      <c r="F471" s="1386" t="e">
        <f t="shared" si="0"/>
        <v>#N/A</v>
      </c>
      <c r="K471" s="1466">
        <v>42528</v>
      </c>
      <c r="L471" s="1467" t="s">
        <v>2127</v>
      </c>
      <c r="M471" s="1468">
        <v>5.2531000000000001E-2</v>
      </c>
      <c r="N471" s="1469">
        <v>1.1773707019846131</v>
      </c>
      <c r="O471" s="1469">
        <v>1.1773707019846131</v>
      </c>
    </row>
    <row r="472" spans="2:15">
      <c r="B472" s="1385">
        <v>46784</v>
      </c>
      <c r="C472" s="1386" t="e">
        <v>#N/A</v>
      </c>
      <c r="D472" s="1386" t="e">
        <v>#N/A</v>
      </c>
      <c r="E472" s="1386" t="e">
        <v>#N/A</v>
      </c>
      <c r="F472" s="1386" t="e">
        <f t="shared" si="0"/>
        <v>#N/A</v>
      </c>
      <c r="K472" s="1466">
        <v>42529</v>
      </c>
      <c r="L472" s="1467" t="s">
        <v>2127</v>
      </c>
      <c r="M472" s="1468">
        <v>5.2531000000000001E-2</v>
      </c>
      <c r="N472" s="1469">
        <v>1.1779891865880727</v>
      </c>
      <c r="O472" s="1469">
        <v>1.1779891865880727</v>
      </c>
    </row>
    <row r="473" spans="2:15">
      <c r="B473" s="1385">
        <v>46813</v>
      </c>
      <c r="C473" s="1386" t="e">
        <v>#N/A</v>
      </c>
      <c r="D473" s="1386" t="e">
        <v>#N/A</v>
      </c>
      <c r="E473" s="1386" t="e">
        <v>#N/A</v>
      </c>
      <c r="F473" s="1386" t="e">
        <f t="shared" si="0"/>
        <v>#N/A</v>
      </c>
      <c r="K473" s="1466">
        <v>42530</v>
      </c>
      <c r="L473" s="1467" t="s">
        <v>2127</v>
      </c>
      <c r="M473" s="1468">
        <v>5.2531000000000001E-2</v>
      </c>
      <c r="N473" s="1469">
        <v>1.1786079960876794</v>
      </c>
      <c r="O473" s="1469">
        <v>1.1786079960876794</v>
      </c>
    </row>
    <row r="474" spans="2:15">
      <c r="B474" s="1385">
        <v>46844</v>
      </c>
      <c r="C474" s="1386" t="e">
        <v>#N/A</v>
      </c>
      <c r="D474" s="1386" t="e">
        <v>#N/A</v>
      </c>
      <c r="E474" s="1386" t="e">
        <v>#N/A</v>
      </c>
      <c r="F474" s="1386" t="e">
        <f t="shared" si="0"/>
        <v>#N/A</v>
      </c>
      <c r="K474" s="1466">
        <v>42531</v>
      </c>
      <c r="L474" s="1467" t="s">
        <v>2127</v>
      </c>
      <c r="M474" s="1468">
        <v>5.2531000000000001E-2</v>
      </c>
      <c r="N474" s="1469">
        <v>1.1792271306541042</v>
      </c>
      <c r="O474" s="1469">
        <v>1.1792271306541042</v>
      </c>
    </row>
    <row r="475" spans="2:15">
      <c r="B475" s="1385">
        <v>46874</v>
      </c>
      <c r="C475" s="1386" t="e">
        <v>#N/A</v>
      </c>
      <c r="D475" s="1386" t="e">
        <v>#N/A</v>
      </c>
      <c r="E475" s="1386" t="e">
        <v>#N/A</v>
      </c>
      <c r="F475" s="1386" t="e">
        <f t="shared" si="0"/>
        <v>#N/A</v>
      </c>
      <c r="K475" s="1466">
        <v>42532</v>
      </c>
      <c r="L475" s="1467"/>
      <c r="M475" s="1468">
        <v>0</v>
      </c>
      <c r="N475" s="1469">
        <v>1.1792271306541042</v>
      </c>
      <c r="O475" s="1469">
        <v>1.1792271306541042</v>
      </c>
    </row>
    <row r="476" spans="2:15">
      <c r="B476" s="1385">
        <v>46905</v>
      </c>
      <c r="C476" s="1386" t="e">
        <v>#N/A</v>
      </c>
      <c r="D476" s="1386" t="e">
        <v>#N/A</v>
      </c>
      <c r="E476" s="1386" t="e">
        <v>#N/A</v>
      </c>
      <c r="F476" s="1386" t="e">
        <f t="shared" si="0"/>
        <v>#N/A</v>
      </c>
      <c r="K476" s="1466">
        <v>42533</v>
      </c>
      <c r="L476" s="1467"/>
      <c r="M476" s="1468">
        <v>0</v>
      </c>
      <c r="N476" s="1469">
        <v>1.1792271306541042</v>
      </c>
      <c r="O476" s="1469">
        <v>1.1792271306541042</v>
      </c>
    </row>
    <row r="477" spans="2:15">
      <c r="B477" s="1385">
        <v>46935</v>
      </c>
      <c r="C477" s="1386" t="e">
        <v>#N/A</v>
      </c>
      <c r="D477" s="1386" t="e">
        <v>#N/A</v>
      </c>
      <c r="E477" s="1386" t="e">
        <v>#N/A</v>
      </c>
      <c r="F477" s="1386" t="e">
        <f t="shared" si="0"/>
        <v>#N/A</v>
      </c>
      <c r="K477" s="1466">
        <v>42534</v>
      </c>
      <c r="L477" s="1467" t="s">
        <v>2127</v>
      </c>
      <c r="M477" s="1468">
        <v>5.2531000000000001E-2</v>
      </c>
      <c r="N477" s="1469">
        <v>1.1798465904581081</v>
      </c>
      <c r="O477" s="1469">
        <v>1.1798465904581081</v>
      </c>
    </row>
    <row r="478" spans="2:15">
      <c r="B478" s="1385">
        <v>46966</v>
      </c>
      <c r="C478" s="1386" t="e">
        <v>#N/A</v>
      </c>
      <c r="D478" s="1386" t="e">
        <v>#N/A</v>
      </c>
      <c r="E478" s="1386" t="e">
        <v>#N/A</v>
      </c>
      <c r="F478" s="1386" t="e">
        <f t="shared" si="0"/>
        <v>#N/A</v>
      </c>
      <c r="K478" s="1466">
        <v>42535</v>
      </c>
      <c r="L478" s="1467" t="s">
        <v>2127</v>
      </c>
      <c r="M478" s="1468">
        <v>5.2531000000000001E-2</v>
      </c>
      <c r="N478" s="1469">
        <v>1.1804663756705416</v>
      </c>
      <c r="O478" s="1469">
        <v>1.1804663756705416</v>
      </c>
    </row>
    <row r="479" spans="2:15">
      <c r="B479" s="1385">
        <v>46997</v>
      </c>
      <c r="C479" s="1386" t="e">
        <v>#N/A</v>
      </c>
      <c r="D479" s="1386" t="e">
        <v>#N/A</v>
      </c>
      <c r="E479" s="1386" t="e">
        <v>#N/A</v>
      </c>
      <c r="F479" s="1386" t="e">
        <f t="shared" si="0"/>
        <v>#N/A</v>
      </c>
      <c r="K479" s="1466">
        <v>42536</v>
      </c>
      <c r="L479" s="1467" t="s">
        <v>2127</v>
      </c>
      <c r="M479" s="1468">
        <v>5.2531000000000001E-2</v>
      </c>
      <c r="N479" s="1469">
        <v>1.1810864864623452</v>
      </c>
      <c r="O479" s="1469">
        <v>1.1810864864623452</v>
      </c>
    </row>
    <row r="480" spans="2:15">
      <c r="B480" s="1385">
        <v>47027</v>
      </c>
      <c r="C480" s="1386" t="e">
        <v>#N/A</v>
      </c>
      <c r="D480" s="1386" t="e">
        <v>#N/A</v>
      </c>
      <c r="E480" s="1386" t="e">
        <v>#N/A</v>
      </c>
      <c r="F480" s="1386" t="e">
        <f t="shared" si="0"/>
        <v>#N/A</v>
      </c>
      <c r="K480" s="1466">
        <v>42537</v>
      </c>
      <c r="L480" s="1467" t="s">
        <v>2127</v>
      </c>
      <c r="M480" s="1468">
        <v>5.2531000000000001E-2</v>
      </c>
      <c r="N480" s="1469">
        <v>1.1817069230045487</v>
      </c>
      <c r="O480" s="1469">
        <v>1.1817069230045487</v>
      </c>
    </row>
    <row r="481" spans="2:15">
      <c r="B481" s="1385">
        <v>47058</v>
      </c>
      <c r="C481" s="1386" t="e">
        <v>#N/A</v>
      </c>
      <c r="D481" s="1386" t="e">
        <v>#N/A</v>
      </c>
      <c r="E481" s="1386" t="e">
        <v>#N/A</v>
      </c>
      <c r="F481" s="1386" t="e">
        <f t="shared" si="0"/>
        <v>#N/A</v>
      </c>
      <c r="K481" s="1466">
        <v>42538</v>
      </c>
      <c r="L481" s="1467" t="s">
        <v>2127</v>
      </c>
      <c r="M481" s="1468">
        <v>5.2531000000000001E-2</v>
      </c>
      <c r="N481" s="1469">
        <v>1.1823276854682723</v>
      </c>
      <c r="O481" s="1469">
        <v>1.1823276854682723</v>
      </c>
    </row>
    <row r="482" spans="2:15">
      <c r="B482" s="1385">
        <v>47088</v>
      </c>
      <c r="C482" s="1386" t="e">
        <v>#N/A</v>
      </c>
      <c r="D482" s="1386" t="e">
        <v>#N/A</v>
      </c>
      <c r="E482" s="1386" t="e">
        <v>#N/A</v>
      </c>
      <c r="F482" s="1386" t="e">
        <f t="shared" si="0"/>
        <v>#N/A</v>
      </c>
      <c r="K482" s="1466">
        <v>42539</v>
      </c>
      <c r="L482" s="1467"/>
      <c r="M482" s="1468">
        <v>0</v>
      </c>
      <c r="N482" s="1469">
        <v>1.1823276854682723</v>
      </c>
      <c r="O482" s="1469">
        <v>1.1823276854682723</v>
      </c>
    </row>
    <row r="483" spans="2:15">
      <c r="B483" s="1385">
        <v>47119</v>
      </c>
      <c r="C483" s="1386" t="e">
        <v>#N/A</v>
      </c>
      <c r="D483" s="1386" t="e">
        <v>#N/A</v>
      </c>
      <c r="E483" s="1386" t="e">
        <v>#N/A</v>
      </c>
      <c r="F483" s="1386" t="e">
        <f t="shared" si="0"/>
        <v>#N/A</v>
      </c>
      <c r="K483" s="1466">
        <v>42540</v>
      </c>
      <c r="L483" s="1467"/>
      <c r="M483" s="1468">
        <v>0</v>
      </c>
      <c r="N483" s="1469">
        <v>1.1823276854682723</v>
      </c>
      <c r="O483" s="1469">
        <v>1.1823276854682723</v>
      </c>
    </row>
    <row r="484" spans="2:15">
      <c r="B484" s="1385">
        <v>47150</v>
      </c>
      <c r="C484" s="1386" t="e">
        <v>#N/A</v>
      </c>
      <c r="D484" s="1386" t="e">
        <v>#N/A</v>
      </c>
      <c r="E484" s="1386" t="e">
        <v>#N/A</v>
      </c>
      <c r="F484" s="1386" t="e">
        <f t="shared" ref="F484:F500" si="1">F483*E484</f>
        <v>#N/A</v>
      </c>
      <c r="K484" s="1466">
        <v>42541</v>
      </c>
      <c r="L484" s="1467" t="s">
        <v>2127</v>
      </c>
      <c r="M484" s="1468">
        <v>5.2531000000000001E-2</v>
      </c>
      <c r="N484" s="1469">
        <v>1.1829487740247255</v>
      </c>
      <c r="O484" s="1469">
        <v>1.1829487740247255</v>
      </c>
    </row>
    <row r="485" spans="2:15">
      <c r="B485" s="1385">
        <v>47178</v>
      </c>
      <c r="C485" s="1386" t="e">
        <v>#N/A</v>
      </c>
      <c r="D485" s="1386" t="e">
        <v>#N/A</v>
      </c>
      <c r="E485" s="1386" t="e">
        <v>#N/A</v>
      </c>
      <c r="F485" s="1386" t="e">
        <f t="shared" si="1"/>
        <v>#N/A</v>
      </c>
      <c r="K485" s="1466">
        <v>42542</v>
      </c>
      <c r="L485" s="1467" t="s">
        <v>2127</v>
      </c>
      <c r="M485" s="1468">
        <v>5.2531000000000001E-2</v>
      </c>
      <c r="N485" s="1469">
        <v>1.1835701888452084</v>
      </c>
      <c r="O485" s="1469">
        <v>1.1835701888452084</v>
      </c>
    </row>
    <row r="486" spans="2:15">
      <c r="B486" s="1385">
        <v>47209</v>
      </c>
      <c r="C486" s="1386" t="e">
        <v>#N/A</v>
      </c>
      <c r="D486" s="1386" t="e">
        <v>#N/A</v>
      </c>
      <c r="E486" s="1386" t="e">
        <v>#N/A</v>
      </c>
      <c r="F486" s="1386" t="e">
        <f t="shared" si="1"/>
        <v>#N/A</v>
      </c>
      <c r="K486" s="1466">
        <v>42543</v>
      </c>
      <c r="L486" s="1467" t="s">
        <v>2127</v>
      </c>
      <c r="M486" s="1468">
        <v>5.2531000000000001E-2</v>
      </c>
      <c r="N486" s="1469">
        <v>1.1841919301011106</v>
      </c>
      <c r="O486" s="1469">
        <v>1.1841919301011106</v>
      </c>
    </row>
    <row r="487" spans="2:15">
      <c r="B487" s="1385">
        <v>47239</v>
      </c>
      <c r="C487" s="1386" t="e">
        <v>#N/A</v>
      </c>
      <c r="D487" s="1386" t="e">
        <v>#N/A</v>
      </c>
      <c r="E487" s="1386" t="e">
        <v>#N/A</v>
      </c>
      <c r="F487" s="1386" t="e">
        <f t="shared" si="1"/>
        <v>#N/A</v>
      </c>
      <c r="K487" s="1466">
        <v>42544</v>
      </c>
      <c r="L487" s="1467" t="s">
        <v>2127</v>
      </c>
      <c r="M487" s="1468">
        <v>5.2531000000000001E-2</v>
      </c>
      <c r="N487" s="1469">
        <v>1.1848139979639121</v>
      </c>
      <c r="O487" s="1469">
        <v>1.1848139979639121</v>
      </c>
    </row>
    <row r="488" spans="2:15">
      <c r="B488" s="1385">
        <v>47270</v>
      </c>
      <c r="C488" s="1386" t="e">
        <v>#N/A</v>
      </c>
      <c r="D488" s="1386" t="e">
        <v>#N/A</v>
      </c>
      <c r="E488" s="1386" t="e">
        <v>#N/A</v>
      </c>
      <c r="F488" s="1386" t="e">
        <f t="shared" si="1"/>
        <v>#N/A</v>
      </c>
      <c r="K488" s="1466">
        <v>42545</v>
      </c>
      <c r="L488" s="1467" t="s">
        <v>2127</v>
      </c>
      <c r="M488" s="1468">
        <v>5.2531000000000001E-2</v>
      </c>
      <c r="N488" s="1469">
        <v>1.1854363926051825</v>
      </c>
      <c r="O488" s="1469">
        <v>1.1854363926051825</v>
      </c>
    </row>
    <row r="489" spans="2:15">
      <c r="B489" s="1385">
        <v>47300</v>
      </c>
      <c r="C489" s="1386" t="e">
        <v>#N/A</v>
      </c>
      <c r="D489" s="1386" t="e">
        <v>#N/A</v>
      </c>
      <c r="E489" s="1386" t="e">
        <v>#N/A</v>
      </c>
      <c r="F489" s="1386" t="e">
        <f t="shared" si="1"/>
        <v>#N/A</v>
      </c>
      <c r="K489" s="1466">
        <v>42546</v>
      </c>
      <c r="L489" s="1467"/>
      <c r="M489" s="1468">
        <v>0</v>
      </c>
      <c r="N489" s="1469">
        <v>1.1854363926051825</v>
      </c>
      <c r="O489" s="1469">
        <v>1.1854363926051825</v>
      </c>
    </row>
    <row r="490" spans="2:15">
      <c r="B490" s="1385">
        <v>47331</v>
      </c>
      <c r="C490" s="1386" t="e">
        <v>#N/A</v>
      </c>
      <c r="D490" s="1386" t="e">
        <v>#N/A</v>
      </c>
      <c r="E490" s="1386" t="e">
        <v>#N/A</v>
      </c>
      <c r="F490" s="1386" t="e">
        <f t="shared" si="1"/>
        <v>#N/A</v>
      </c>
      <c r="K490" s="1466">
        <v>42547</v>
      </c>
      <c r="L490" s="1467"/>
      <c r="M490" s="1468">
        <v>0</v>
      </c>
      <c r="N490" s="1469">
        <v>1.1854363926051825</v>
      </c>
      <c r="O490" s="1469">
        <v>1.1854363926051825</v>
      </c>
    </row>
    <row r="491" spans="2:15">
      <c r="B491" s="1385">
        <v>47362</v>
      </c>
      <c r="C491" s="1386" t="e">
        <v>#N/A</v>
      </c>
      <c r="D491" s="1386" t="e">
        <v>#N/A</v>
      </c>
      <c r="E491" s="1386" t="e">
        <v>#N/A</v>
      </c>
      <c r="F491" s="1386" t="e">
        <f t="shared" si="1"/>
        <v>#N/A</v>
      </c>
      <c r="K491" s="1466">
        <v>42548</v>
      </c>
      <c r="L491" s="1467" t="s">
        <v>2127</v>
      </c>
      <c r="M491" s="1468">
        <v>5.2531000000000001E-2</v>
      </c>
      <c r="N491" s="1469">
        <v>1.1860591141965819</v>
      </c>
      <c r="O491" s="1469">
        <v>1.1860591141965819</v>
      </c>
    </row>
    <row r="492" spans="2:15">
      <c r="B492" s="1385">
        <v>47392</v>
      </c>
      <c r="C492" s="1386" t="e">
        <v>#N/A</v>
      </c>
      <c r="D492" s="1386" t="e">
        <v>#N/A</v>
      </c>
      <c r="E492" s="1386" t="e">
        <v>#N/A</v>
      </c>
      <c r="F492" s="1386" t="e">
        <f t="shared" si="1"/>
        <v>#N/A</v>
      </c>
      <c r="K492" s="1466">
        <v>42549</v>
      </c>
      <c r="L492" s="1467" t="s">
        <v>2127</v>
      </c>
      <c r="M492" s="1468">
        <v>5.2531000000000001E-2</v>
      </c>
      <c r="N492" s="1469">
        <v>1.1866821629098605</v>
      </c>
      <c r="O492" s="1469">
        <v>1.1866821629098605</v>
      </c>
    </row>
    <row r="493" spans="2:15">
      <c r="B493" s="1385">
        <v>47423</v>
      </c>
      <c r="C493" s="1386" t="e">
        <v>#N/A</v>
      </c>
      <c r="D493" s="1386" t="e">
        <v>#N/A</v>
      </c>
      <c r="E493" s="1386" t="e">
        <v>#N/A</v>
      </c>
      <c r="F493" s="1386" t="e">
        <f t="shared" si="1"/>
        <v>#N/A</v>
      </c>
      <c r="K493" s="1466">
        <v>42550</v>
      </c>
      <c r="L493" s="1467" t="s">
        <v>2127</v>
      </c>
      <c r="M493" s="1468">
        <v>5.2531000000000001E-2</v>
      </c>
      <c r="N493" s="1469">
        <v>1.1873055389168587</v>
      </c>
      <c r="O493" s="1469">
        <v>1.1873055389168587</v>
      </c>
    </row>
    <row r="494" spans="2:15">
      <c r="B494" s="1385">
        <v>47453</v>
      </c>
      <c r="C494" s="1386" t="e">
        <v>#N/A</v>
      </c>
      <c r="D494" s="1386" t="e">
        <v>#N/A</v>
      </c>
      <c r="E494" s="1386" t="e">
        <v>#N/A</v>
      </c>
      <c r="F494" s="1386" t="e">
        <f t="shared" si="1"/>
        <v>#N/A</v>
      </c>
      <c r="K494" s="1466">
        <v>42551</v>
      </c>
      <c r="L494" s="1467" t="s">
        <v>2127</v>
      </c>
      <c r="M494" s="1468">
        <v>5.2531000000000001E-2</v>
      </c>
      <c r="N494" s="1469">
        <v>1.1879292423895071</v>
      </c>
      <c r="O494" s="1469">
        <v>1.1879292423895071</v>
      </c>
    </row>
    <row r="495" spans="2:15">
      <c r="B495" s="1385">
        <v>47484</v>
      </c>
      <c r="C495" s="1386" t="e">
        <v>#N/A</v>
      </c>
      <c r="D495" s="1386" t="e">
        <v>#N/A</v>
      </c>
      <c r="E495" s="1386" t="e">
        <v>#N/A</v>
      </c>
      <c r="F495" s="1386" t="e">
        <f t="shared" si="1"/>
        <v>#N/A</v>
      </c>
      <c r="K495" s="1466">
        <v>42552</v>
      </c>
      <c r="L495" s="1467" t="s">
        <v>2127</v>
      </c>
      <c r="M495" s="1468">
        <v>5.2531000000000001E-2</v>
      </c>
      <c r="N495" s="1469">
        <v>1.1885532734998268</v>
      </c>
      <c r="O495" s="1469">
        <v>1.1885532734998268</v>
      </c>
    </row>
    <row r="496" spans="2:15">
      <c r="B496" s="1385">
        <v>47515</v>
      </c>
      <c r="C496" s="1386" t="e">
        <v>#N/A</v>
      </c>
      <c r="D496" s="1386" t="e">
        <v>#N/A</v>
      </c>
      <c r="E496" s="1386" t="e">
        <v>#N/A</v>
      </c>
      <c r="F496" s="1386" t="e">
        <f t="shared" si="1"/>
        <v>#N/A</v>
      </c>
      <c r="K496" s="1466">
        <v>42553</v>
      </c>
      <c r="L496" s="1467"/>
      <c r="M496" s="1468">
        <v>0</v>
      </c>
      <c r="N496" s="1469">
        <v>1.1885532734998268</v>
      </c>
      <c r="O496" s="1469">
        <v>1.1885532734998268</v>
      </c>
    </row>
    <row r="497" spans="2:15">
      <c r="B497" s="1385">
        <v>47543</v>
      </c>
      <c r="C497" s="1386" t="e">
        <v>#N/A</v>
      </c>
      <c r="D497" s="1386" t="e">
        <v>#N/A</v>
      </c>
      <c r="E497" s="1386" t="e">
        <v>#N/A</v>
      </c>
      <c r="F497" s="1386" t="e">
        <f t="shared" si="1"/>
        <v>#N/A</v>
      </c>
      <c r="K497" s="1466">
        <v>42554</v>
      </c>
      <c r="L497" s="1467"/>
      <c r="M497" s="1468">
        <v>0</v>
      </c>
      <c r="N497" s="1469">
        <v>1.1885532734998268</v>
      </c>
      <c r="O497" s="1469">
        <v>1.1885532734998268</v>
      </c>
    </row>
    <row r="498" spans="2:15">
      <c r="B498" s="1385">
        <v>47574</v>
      </c>
      <c r="C498" s="1386" t="e">
        <v>#N/A</v>
      </c>
      <c r="D498" s="1386" t="e">
        <v>#N/A</v>
      </c>
      <c r="E498" s="1386" t="e">
        <v>#N/A</v>
      </c>
      <c r="F498" s="1386" t="e">
        <f t="shared" si="1"/>
        <v>#N/A</v>
      </c>
      <c r="K498" s="1466">
        <v>42555</v>
      </c>
      <c r="L498" s="1467" t="s">
        <v>2127</v>
      </c>
      <c r="M498" s="1468">
        <v>5.2531000000000001E-2</v>
      </c>
      <c r="N498" s="1469">
        <v>1.189177632419929</v>
      </c>
      <c r="O498" s="1469">
        <v>1.189177632419929</v>
      </c>
    </row>
    <row r="499" spans="2:15">
      <c r="B499" s="1385">
        <v>47604</v>
      </c>
      <c r="C499" s="1386" t="e">
        <v>#N/A</v>
      </c>
      <c r="D499" s="1386" t="e">
        <v>#N/A</v>
      </c>
      <c r="E499" s="1386" t="e">
        <v>#N/A</v>
      </c>
      <c r="F499" s="1386" t="e">
        <f t="shared" si="1"/>
        <v>#N/A</v>
      </c>
      <c r="K499" s="1466">
        <v>42556</v>
      </c>
      <c r="L499" s="1467" t="s">
        <v>2127</v>
      </c>
      <c r="M499" s="1468">
        <v>5.2531000000000001E-2</v>
      </c>
      <c r="N499" s="1469">
        <v>1.1898023193220155</v>
      </c>
      <c r="O499" s="1469">
        <v>1.1898023193220155</v>
      </c>
    </row>
    <row r="500" spans="2:15">
      <c r="B500" s="1385">
        <v>47635</v>
      </c>
      <c r="C500" s="1386" t="e">
        <v>#N/A</v>
      </c>
      <c r="D500" s="1386" t="e">
        <v>#N/A</v>
      </c>
      <c r="E500" s="1386" t="e">
        <v>#N/A</v>
      </c>
      <c r="F500" s="1386" t="e">
        <f t="shared" si="1"/>
        <v>#N/A</v>
      </c>
      <c r="K500" s="1466">
        <v>42557</v>
      </c>
      <c r="L500" s="1467" t="s">
        <v>2127</v>
      </c>
      <c r="M500" s="1468">
        <v>5.2531000000000001E-2</v>
      </c>
      <c r="N500" s="1469">
        <v>1.1904273343783787</v>
      </c>
      <c r="O500" s="1469">
        <v>1.1904273343783787</v>
      </c>
    </row>
    <row r="501" spans="2:15">
      <c r="K501" s="1466">
        <v>42558</v>
      </c>
      <c r="L501" s="1467" t="s">
        <v>2127</v>
      </c>
      <c r="M501" s="1468">
        <v>5.2531000000000001E-2</v>
      </c>
      <c r="N501" s="1469">
        <v>1.191052677761401</v>
      </c>
      <c r="O501" s="1469">
        <v>1.191052677761401</v>
      </c>
    </row>
    <row r="502" spans="2:15">
      <c r="K502" s="1466">
        <v>42559</v>
      </c>
      <c r="L502" s="1467" t="s">
        <v>2127</v>
      </c>
      <c r="M502" s="1468">
        <v>5.2531000000000001E-2</v>
      </c>
      <c r="N502" s="1469">
        <v>1.1916783496435559</v>
      </c>
      <c r="O502" s="1469">
        <v>1.1916783496435559</v>
      </c>
    </row>
    <row r="503" spans="2:15">
      <c r="K503" s="1466">
        <v>42560</v>
      </c>
      <c r="L503" s="1467"/>
      <c r="M503" s="1468">
        <v>0</v>
      </c>
      <c r="N503" s="1469">
        <v>1.1916783496435559</v>
      </c>
      <c r="O503" s="1469">
        <v>1.1916783496435559</v>
      </c>
    </row>
    <row r="504" spans="2:15">
      <c r="K504" s="1466">
        <v>42561</v>
      </c>
      <c r="L504" s="1467"/>
      <c r="M504" s="1468">
        <v>0</v>
      </c>
      <c r="N504" s="1469">
        <v>1.1916783496435559</v>
      </c>
      <c r="O504" s="1469">
        <v>1.1916783496435559</v>
      </c>
    </row>
    <row r="505" spans="2:15">
      <c r="K505" s="1466">
        <v>42562</v>
      </c>
      <c r="L505" s="1467" t="s">
        <v>2127</v>
      </c>
      <c r="M505" s="1468">
        <v>5.2531000000000001E-2</v>
      </c>
      <c r="N505" s="1469">
        <v>1.1923043501974071</v>
      </c>
      <c r="O505" s="1469">
        <v>1.1923043501974071</v>
      </c>
    </row>
    <row r="506" spans="2:15">
      <c r="K506" s="1466">
        <v>42563</v>
      </c>
      <c r="L506" s="1467" t="s">
        <v>2127</v>
      </c>
      <c r="M506" s="1468">
        <v>5.2531000000000001E-2</v>
      </c>
      <c r="N506" s="1469">
        <v>1.1929306795956094</v>
      </c>
      <c r="O506" s="1469">
        <v>1.1929306795956094</v>
      </c>
    </row>
    <row r="507" spans="2:15">
      <c r="K507" s="1466">
        <v>42564</v>
      </c>
      <c r="L507" s="1467" t="s">
        <v>2127</v>
      </c>
      <c r="M507" s="1468">
        <v>5.2531000000000001E-2</v>
      </c>
      <c r="N507" s="1469">
        <v>1.1935573380109077</v>
      </c>
      <c r="O507" s="1469">
        <v>1.1935573380109077</v>
      </c>
    </row>
    <row r="508" spans="2:15">
      <c r="K508" s="1466">
        <v>42565</v>
      </c>
      <c r="L508" s="1467" t="s">
        <v>2127</v>
      </c>
      <c r="M508" s="1468">
        <v>5.2531000000000001E-2</v>
      </c>
      <c r="N508" s="1469">
        <v>1.1941843256161382</v>
      </c>
      <c r="O508" s="1469">
        <v>1.1941843256161382</v>
      </c>
    </row>
    <row r="509" spans="2:15">
      <c r="K509" s="1466">
        <v>42566</v>
      </c>
      <c r="L509" s="1467" t="s">
        <v>2127</v>
      </c>
      <c r="M509" s="1468">
        <v>5.2531000000000001E-2</v>
      </c>
      <c r="N509" s="1469">
        <v>1.1948116425842277</v>
      </c>
      <c r="O509" s="1469">
        <v>1.1948116425842277</v>
      </c>
    </row>
    <row r="510" spans="2:15">
      <c r="K510" s="1466">
        <v>42567</v>
      </c>
      <c r="L510" s="1467"/>
      <c r="M510" s="1468">
        <v>0</v>
      </c>
      <c r="N510" s="1469">
        <v>1.1948116425842277</v>
      </c>
      <c r="O510" s="1469">
        <v>1.1948116425842277</v>
      </c>
    </row>
    <row r="511" spans="2:15">
      <c r="K511" s="1466">
        <v>42568</v>
      </c>
      <c r="L511" s="1467"/>
      <c r="M511" s="1468">
        <v>0</v>
      </c>
      <c r="N511" s="1469">
        <v>1.1948116425842277</v>
      </c>
      <c r="O511" s="1469">
        <v>1.1948116425842277</v>
      </c>
    </row>
    <row r="512" spans="2:15">
      <c r="K512" s="1466">
        <v>42569</v>
      </c>
      <c r="L512" s="1467" t="s">
        <v>2127</v>
      </c>
      <c r="M512" s="1468">
        <v>5.2531000000000001E-2</v>
      </c>
      <c r="N512" s="1469">
        <v>1.1954392890881935</v>
      </c>
      <c r="O512" s="1469">
        <v>1.1954392890881935</v>
      </c>
    </row>
    <row r="513" spans="11:15">
      <c r="K513" s="1466">
        <v>42570</v>
      </c>
      <c r="L513" s="1467" t="s">
        <v>2127</v>
      </c>
      <c r="M513" s="1468">
        <v>5.2531000000000001E-2</v>
      </c>
      <c r="N513" s="1469">
        <v>1.1960672653011444</v>
      </c>
      <c r="O513" s="1469">
        <v>1.1960672653011444</v>
      </c>
    </row>
    <row r="514" spans="11:15">
      <c r="K514" s="1466">
        <v>42571</v>
      </c>
      <c r="L514" s="1467" t="s">
        <v>2127</v>
      </c>
      <c r="M514" s="1468">
        <v>5.2531000000000001E-2</v>
      </c>
      <c r="N514" s="1469">
        <v>1.1966955713962797</v>
      </c>
      <c r="O514" s="1469">
        <v>1.1966955713962797</v>
      </c>
    </row>
    <row r="515" spans="11:15">
      <c r="K515" s="1466">
        <v>42572</v>
      </c>
      <c r="L515" s="1467" t="s">
        <v>2127</v>
      </c>
      <c r="M515" s="1468">
        <v>5.2531000000000001E-2</v>
      </c>
      <c r="N515" s="1469">
        <v>1.19732420754689</v>
      </c>
      <c r="O515" s="1469">
        <v>1.19732420754689</v>
      </c>
    </row>
    <row r="516" spans="11:15">
      <c r="K516" s="1466">
        <v>42573</v>
      </c>
      <c r="L516" s="1467" t="s">
        <v>2127</v>
      </c>
      <c r="M516" s="1468">
        <v>5.2531000000000001E-2</v>
      </c>
      <c r="N516" s="1469">
        <v>1.1979531739263565</v>
      </c>
      <c r="O516" s="1469">
        <v>1.1979531739263565</v>
      </c>
    </row>
    <row r="517" spans="11:15">
      <c r="K517" s="1466">
        <v>42574</v>
      </c>
      <c r="L517" s="1467"/>
      <c r="M517" s="1468">
        <v>0</v>
      </c>
      <c r="N517" s="1469">
        <v>1.1979531739263565</v>
      </c>
      <c r="O517" s="1469">
        <v>1.1979531739263565</v>
      </c>
    </row>
    <row r="518" spans="11:15">
      <c r="K518" s="1466">
        <v>42575</v>
      </c>
      <c r="L518" s="1467"/>
      <c r="M518" s="1468">
        <v>0</v>
      </c>
      <c r="N518" s="1469">
        <v>1.1979531739263565</v>
      </c>
      <c r="O518" s="1469">
        <v>1.1979531739263565</v>
      </c>
    </row>
    <row r="519" spans="11:15">
      <c r="K519" s="1466">
        <v>42576</v>
      </c>
      <c r="L519" s="1467" t="s">
        <v>2127</v>
      </c>
      <c r="M519" s="1468">
        <v>5.2531000000000001E-2</v>
      </c>
      <c r="N519" s="1469">
        <v>1.1985824707081518</v>
      </c>
      <c r="O519" s="1469">
        <v>1.1985824707081518</v>
      </c>
    </row>
    <row r="520" spans="11:15">
      <c r="K520" s="1466">
        <v>42577</v>
      </c>
      <c r="L520" s="1467" t="s">
        <v>2127</v>
      </c>
      <c r="M520" s="1468">
        <v>5.2531000000000001E-2</v>
      </c>
      <c r="N520" s="1469">
        <v>1.1992120980658396</v>
      </c>
      <c r="O520" s="1469">
        <v>1.1992120980658396</v>
      </c>
    </row>
    <row r="521" spans="11:15">
      <c r="K521" s="1466">
        <v>42578</v>
      </c>
      <c r="L521" s="1467" t="s">
        <v>2127</v>
      </c>
      <c r="M521" s="1468">
        <v>5.2531000000000001E-2</v>
      </c>
      <c r="N521" s="1469">
        <v>1.1998420561730745</v>
      </c>
      <c r="O521" s="1469">
        <v>1.1998420561730745</v>
      </c>
    </row>
    <row r="522" spans="11:15">
      <c r="K522" s="1466">
        <v>42579</v>
      </c>
      <c r="L522" s="1467" t="s">
        <v>2127</v>
      </c>
      <c r="M522" s="1468">
        <v>5.2531000000000001E-2</v>
      </c>
      <c r="N522" s="1469">
        <v>1.2004723452036028</v>
      </c>
      <c r="O522" s="1469">
        <v>1.2004723452036028</v>
      </c>
    </row>
    <row r="523" spans="11:15">
      <c r="K523" s="1466">
        <v>42580</v>
      </c>
      <c r="L523" s="1467" t="s">
        <v>2127</v>
      </c>
      <c r="M523" s="1468">
        <v>5.2531000000000001E-2</v>
      </c>
      <c r="N523" s="1469">
        <v>1.2011029653312617</v>
      </c>
      <c r="O523" s="1469">
        <v>1.2011029653312617</v>
      </c>
    </row>
    <row r="524" spans="11:15">
      <c r="K524" s="1466">
        <v>42581</v>
      </c>
      <c r="L524" s="1467"/>
      <c r="M524" s="1468">
        <v>0</v>
      </c>
      <c r="N524" s="1469">
        <v>1.2011029653312617</v>
      </c>
      <c r="O524" s="1469">
        <v>1.2011029653312617</v>
      </c>
    </row>
    <row r="525" spans="11:15">
      <c r="K525" s="1466">
        <v>42582</v>
      </c>
      <c r="L525" s="1467"/>
      <c r="M525" s="1468">
        <v>0</v>
      </c>
      <c r="N525" s="1469">
        <v>1.2011029653312617</v>
      </c>
      <c r="O525" s="1469">
        <v>1.2011029653312617</v>
      </c>
    </row>
    <row r="526" spans="11:15">
      <c r="K526" s="1466">
        <v>42583</v>
      </c>
      <c r="L526" s="1467" t="s">
        <v>2127</v>
      </c>
      <c r="M526" s="1468">
        <v>5.2531000000000001E-2</v>
      </c>
      <c r="N526" s="1469">
        <v>1.2017339167299799</v>
      </c>
      <c r="O526" s="1469">
        <v>1.2017339167299799</v>
      </c>
    </row>
    <row r="527" spans="11:15">
      <c r="K527" s="1466">
        <v>42584</v>
      </c>
      <c r="L527" s="1467" t="s">
        <v>2127</v>
      </c>
      <c r="M527" s="1468">
        <v>5.2531000000000001E-2</v>
      </c>
      <c r="N527" s="1469">
        <v>1.2023651995737772</v>
      </c>
      <c r="O527" s="1469">
        <v>1.2023651995737772</v>
      </c>
    </row>
    <row r="528" spans="11:15">
      <c r="K528" s="1466">
        <v>42585</v>
      </c>
      <c r="L528" s="1467" t="s">
        <v>2127</v>
      </c>
      <c r="M528" s="1468">
        <v>5.2531000000000001E-2</v>
      </c>
      <c r="N528" s="1469">
        <v>1.2029968140367653</v>
      </c>
      <c r="O528" s="1469">
        <v>1.2029968140367653</v>
      </c>
    </row>
    <row r="529" spans="11:15">
      <c r="K529" s="1466">
        <v>42586</v>
      </c>
      <c r="L529" s="1467" t="s">
        <v>2127</v>
      </c>
      <c r="M529" s="1468">
        <v>5.2531000000000001E-2</v>
      </c>
      <c r="N529" s="1469">
        <v>1.203628760293147</v>
      </c>
      <c r="O529" s="1469">
        <v>1.203628760293147</v>
      </c>
    </row>
    <row r="530" spans="11:15">
      <c r="K530" s="1466">
        <v>42587</v>
      </c>
      <c r="L530" s="1467" t="s">
        <v>2127</v>
      </c>
      <c r="M530" s="1468">
        <v>5.2531000000000001E-2</v>
      </c>
      <c r="N530" s="1469">
        <v>1.2042610385172166</v>
      </c>
      <c r="O530" s="1469">
        <v>1.2042610385172166</v>
      </c>
    </row>
    <row r="531" spans="11:15">
      <c r="K531" s="1466">
        <v>42588</v>
      </c>
      <c r="L531" s="1467"/>
      <c r="M531" s="1468">
        <v>0</v>
      </c>
      <c r="N531" s="1469">
        <v>1.2042610385172166</v>
      </c>
      <c r="O531" s="1469">
        <v>1.2042610385172166</v>
      </c>
    </row>
    <row r="532" spans="11:15">
      <c r="K532" s="1466">
        <v>42589</v>
      </c>
      <c r="L532" s="1467"/>
      <c r="M532" s="1468">
        <v>0</v>
      </c>
      <c r="N532" s="1469">
        <v>1.2042610385172166</v>
      </c>
      <c r="O532" s="1469">
        <v>1.2042610385172166</v>
      </c>
    </row>
    <row r="533" spans="11:15">
      <c r="K533" s="1466">
        <v>42590</v>
      </c>
      <c r="L533" s="1467" t="s">
        <v>2127</v>
      </c>
      <c r="M533" s="1468">
        <v>5.2531000000000001E-2</v>
      </c>
      <c r="N533" s="1469">
        <v>1.2048936488833599</v>
      </c>
      <c r="O533" s="1469">
        <v>1.2048936488833599</v>
      </c>
    </row>
    <row r="534" spans="11:15">
      <c r="K534" s="1466">
        <v>42591</v>
      </c>
      <c r="L534" s="1467" t="s">
        <v>2127</v>
      </c>
      <c r="M534" s="1468">
        <v>5.2531000000000001E-2</v>
      </c>
      <c r="N534" s="1469">
        <v>1.2055265915660549</v>
      </c>
      <c r="O534" s="1469">
        <v>1.2055265915660549</v>
      </c>
    </row>
    <row r="535" spans="11:15">
      <c r="K535" s="1466">
        <v>42592</v>
      </c>
      <c r="L535" s="1467" t="s">
        <v>2127</v>
      </c>
      <c r="M535" s="1468">
        <v>5.2531000000000001E-2</v>
      </c>
      <c r="N535" s="1469">
        <v>1.2061598667398705</v>
      </c>
      <c r="O535" s="1469">
        <v>1.2061598667398705</v>
      </c>
    </row>
    <row r="536" spans="11:15">
      <c r="K536" s="1466">
        <v>42593</v>
      </c>
      <c r="L536" s="1467" t="s">
        <v>2127</v>
      </c>
      <c r="M536" s="1468">
        <v>5.2531000000000001E-2</v>
      </c>
      <c r="N536" s="1469">
        <v>1.2067934745794677</v>
      </c>
      <c r="O536" s="1469">
        <v>1.2067934745794677</v>
      </c>
    </row>
    <row r="537" spans="11:15">
      <c r="K537" s="1466">
        <v>42594</v>
      </c>
      <c r="L537" s="1467" t="s">
        <v>2127</v>
      </c>
      <c r="M537" s="1468">
        <v>5.2531000000000001E-2</v>
      </c>
      <c r="N537" s="1469">
        <v>1.2074274152595992</v>
      </c>
      <c r="O537" s="1469">
        <v>1.2074274152595992</v>
      </c>
    </row>
    <row r="538" spans="11:15">
      <c r="K538" s="1466">
        <v>42595</v>
      </c>
      <c r="L538" s="1467"/>
      <c r="M538" s="1468">
        <v>0</v>
      </c>
      <c r="N538" s="1469">
        <v>1.2074274152595992</v>
      </c>
      <c r="O538" s="1469">
        <v>1.2074274152595992</v>
      </c>
    </row>
    <row r="539" spans="11:15">
      <c r="K539" s="1466">
        <v>42596</v>
      </c>
      <c r="L539" s="1467"/>
      <c r="M539" s="1468">
        <v>0</v>
      </c>
      <c r="N539" s="1469">
        <v>1.2074274152595992</v>
      </c>
      <c r="O539" s="1469">
        <v>1.2074274152595992</v>
      </c>
    </row>
    <row r="540" spans="11:15">
      <c r="K540" s="1466">
        <v>42597</v>
      </c>
      <c r="L540" s="1467" t="s">
        <v>2127</v>
      </c>
      <c r="M540" s="1468">
        <v>5.2531000000000001E-2</v>
      </c>
      <c r="N540" s="1469">
        <v>1.2080616889551092</v>
      </c>
      <c r="O540" s="1469">
        <v>1.2080616889551092</v>
      </c>
    </row>
    <row r="541" spans="11:15">
      <c r="K541" s="1466">
        <v>42598</v>
      </c>
      <c r="L541" s="1467" t="s">
        <v>2127</v>
      </c>
      <c r="M541" s="1468">
        <v>5.2531000000000001E-2</v>
      </c>
      <c r="N541" s="1469">
        <v>1.2086962958409342</v>
      </c>
      <c r="O541" s="1469">
        <v>1.2086962958409342</v>
      </c>
    </row>
    <row r="542" spans="11:15">
      <c r="K542" s="1466">
        <v>42599</v>
      </c>
      <c r="L542" s="1467" t="s">
        <v>2127</v>
      </c>
      <c r="M542" s="1468">
        <v>5.2531000000000001E-2</v>
      </c>
      <c r="N542" s="1469">
        <v>1.2093312360921025</v>
      </c>
      <c r="O542" s="1469">
        <v>1.2093312360921025</v>
      </c>
    </row>
    <row r="543" spans="11:15">
      <c r="K543" s="1466">
        <v>42600</v>
      </c>
      <c r="L543" s="1467" t="s">
        <v>2127</v>
      </c>
      <c r="M543" s="1468">
        <v>5.2531000000000001E-2</v>
      </c>
      <c r="N543" s="1469">
        <v>1.209966509883734</v>
      </c>
      <c r="O543" s="1469">
        <v>1.209966509883734</v>
      </c>
    </row>
    <row r="544" spans="11:15">
      <c r="K544" s="1466">
        <v>42601</v>
      </c>
      <c r="L544" s="1467" t="s">
        <v>2127</v>
      </c>
      <c r="M544" s="1468">
        <v>5.2531000000000001E-2</v>
      </c>
      <c r="N544" s="1469">
        <v>1.2106021173910411</v>
      </c>
      <c r="O544" s="1469">
        <v>1.2106021173910411</v>
      </c>
    </row>
    <row r="545" spans="11:15">
      <c r="K545" s="1466">
        <v>42602</v>
      </c>
      <c r="L545" s="1467"/>
      <c r="M545" s="1468">
        <v>0</v>
      </c>
      <c r="N545" s="1469">
        <v>1.2106021173910411</v>
      </c>
      <c r="O545" s="1469">
        <v>1.2106021173910411</v>
      </c>
    </row>
    <row r="546" spans="11:15">
      <c r="K546" s="1466">
        <v>42603</v>
      </c>
      <c r="L546" s="1467"/>
      <c r="M546" s="1468">
        <v>0</v>
      </c>
      <c r="N546" s="1469">
        <v>1.2106021173910411</v>
      </c>
      <c r="O546" s="1469">
        <v>1.2106021173910411</v>
      </c>
    </row>
    <row r="547" spans="11:15">
      <c r="K547" s="1466">
        <v>42604</v>
      </c>
      <c r="L547" s="1467" t="s">
        <v>2127</v>
      </c>
      <c r="M547" s="1468">
        <v>5.2531000000000001E-2</v>
      </c>
      <c r="N547" s="1469">
        <v>1.2112380587893277</v>
      </c>
      <c r="O547" s="1469">
        <v>1.2112380587893277</v>
      </c>
    </row>
    <row r="548" spans="11:15">
      <c r="K548" s="1466">
        <v>42605</v>
      </c>
      <c r="L548" s="1467" t="s">
        <v>2127</v>
      </c>
      <c r="M548" s="1468">
        <v>5.2531000000000001E-2</v>
      </c>
      <c r="N548" s="1469">
        <v>1.2118743342539904</v>
      </c>
      <c r="O548" s="1469">
        <v>1.2118743342539904</v>
      </c>
    </row>
    <row r="549" spans="11:15">
      <c r="K549" s="1466">
        <v>42606</v>
      </c>
      <c r="L549" s="1467" t="s">
        <v>2127</v>
      </c>
      <c r="M549" s="1468">
        <v>5.2531000000000001E-2</v>
      </c>
      <c r="N549" s="1469">
        <v>1.2125109439605173</v>
      </c>
      <c r="O549" s="1469">
        <v>1.2125109439605173</v>
      </c>
    </row>
    <row r="550" spans="11:15">
      <c r="K550" s="1466">
        <v>42607</v>
      </c>
      <c r="L550" s="1467" t="s">
        <v>2127</v>
      </c>
      <c r="M550" s="1468">
        <v>5.2531000000000001E-2</v>
      </c>
      <c r="N550" s="1469">
        <v>1.2131478880844893</v>
      </c>
      <c r="O550" s="1469">
        <v>1.2131478880844893</v>
      </c>
    </row>
    <row r="551" spans="11:15">
      <c r="K551" s="1466">
        <v>42608</v>
      </c>
      <c r="L551" s="1467" t="s">
        <v>2127</v>
      </c>
      <c r="M551" s="1468">
        <v>5.2531000000000001E-2</v>
      </c>
      <c r="N551" s="1469">
        <v>1.2137851668015789</v>
      </c>
      <c r="O551" s="1469">
        <v>1.2137851668015789</v>
      </c>
    </row>
    <row r="552" spans="11:15">
      <c r="K552" s="1466">
        <v>42609</v>
      </c>
      <c r="L552" s="1467"/>
      <c r="M552" s="1468">
        <v>0</v>
      </c>
      <c r="N552" s="1469">
        <v>1.2137851668015789</v>
      </c>
      <c r="O552" s="1469">
        <v>1.2137851668015789</v>
      </c>
    </row>
    <row r="553" spans="11:15">
      <c r="K553" s="1466">
        <v>42610</v>
      </c>
      <c r="L553" s="1467"/>
      <c r="M553" s="1468">
        <v>0</v>
      </c>
      <c r="N553" s="1469">
        <v>1.2137851668015789</v>
      </c>
      <c r="O553" s="1469">
        <v>1.2137851668015789</v>
      </c>
    </row>
    <row r="554" spans="11:15">
      <c r="K554" s="1466">
        <v>42611</v>
      </c>
      <c r="L554" s="1467" t="s">
        <v>2127</v>
      </c>
      <c r="M554" s="1468">
        <v>5.2531000000000001E-2</v>
      </c>
      <c r="N554" s="1469">
        <v>1.2144227802875514</v>
      </c>
      <c r="O554" s="1469">
        <v>1.2144227802875514</v>
      </c>
    </row>
    <row r="555" spans="11:15">
      <c r="K555" s="1466">
        <v>42612</v>
      </c>
      <c r="L555" s="1467" t="s">
        <v>2127</v>
      </c>
      <c r="M555" s="1468">
        <v>5.2531000000000001E-2</v>
      </c>
      <c r="N555" s="1469">
        <v>1.2150607287182642</v>
      </c>
      <c r="O555" s="1469">
        <v>1.2150607287182642</v>
      </c>
    </row>
    <row r="556" spans="11:15">
      <c r="K556" s="1466">
        <v>42613</v>
      </c>
      <c r="L556" s="1467" t="s">
        <v>2127</v>
      </c>
      <c r="M556" s="1468">
        <v>5.2531000000000001E-2</v>
      </c>
      <c r="N556" s="1469">
        <v>1.2156990122696671</v>
      </c>
      <c r="O556" s="1469">
        <v>1.2156990122696671</v>
      </c>
    </row>
    <row r="557" spans="11:15">
      <c r="K557" s="1466">
        <v>42614</v>
      </c>
      <c r="L557" s="1467" t="s">
        <v>2127</v>
      </c>
      <c r="M557" s="1468">
        <v>5.2531000000000001E-2</v>
      </c>
      <c r="N557" s="1469">
        <v>1.2163376311178025</v>
      </c>
      <c r="O557" s="1469">
        <v>1.2163376311178025</v>
      </c>
    </row>
    <row r="558" spans="11:15">
      <c r="K558" s="1466">
        <v>42615</v>
      </c>
      <c r="L558" s="1467" t="s">
        <v>2127</v>
      </c>
      <c r="M558" s="1468">
        <v>5.2531000000000001E-2</v>
      </c>
      <c r="N558" s="1469">
        <v>1.216976585438805</v>
      </c>
      <c r="O558" s="1469">
        <v>1.216976585438805</v>
      </c>
    </row>
    <row r="559" spans="11:15">
      <c r="K559" s="1466">
        <v>42616</v>
      </c>
      <c r="L559" s="1467"/>
      <c r="M559" s="1468">
        <v>0</v>
      </c>
      <c r="N559" s="1469">
        <v>1.216976585438805</v>
      </c>
      <c r="O559" s="1469">
        <v>1.216976585438805</v>
      </c>
    </row>
    <row r="560" spans="11:15">
      <c r="K560" s="1466">
        <v>42617</v>
      </c>
      <c r="L560" s="1467"/>
      <c r="M560" s="1468">
        <v>0</v>
      </c>
      <c r="N560" s="1469">
        <v>1.216976585438805</v>
      </c>
      <c r="O560" s="1469">
        <v>1.216976585438805</v>
      </c>
    </row>
    <row r="561" spans="11:15">
      <c r="K561" s="1466">
        <v>42618</v>
      </c>
      <c r="L561" s="1467" t="s">
        <v>2127</v>
      </c>
      <c r="M561" s="1468">
        <v>5.2531000000000001E-2</v>
      </c>
      <c r="N561" s="1469">
        <v>1.2176158754089019</v>
      </c>
      <c r="O561" s="1469">
        <v>1.2176158754089019</v>
      </c>
    </row>
    <row r="562" spans="11:15">
      <c r="K562" s="1466">
        <v>42619</v>
      </c>
      <c r="L562" s="1467" t="s">
        <v>2127</v>
      </c>
      <c r="M562" s="1468">
        <v>5.2531000000000001E-2</v>
      </c>
      <c r="N562" s="1469">
        <v>1.2182555012044129</v>
      </c>
      <c r="O562" s="1469">
        <v>1.2182555012044129</v>
      </c>
    </row>
    <row r="563" spans="11:15">
      <c r="K563" s="1466">
        <v>42620</v>
      </c>
      <c r="L563" s="1467"/>
      <c r="M563" s="1468">
        <v>0</v>
      </c>
      <c r="N563" s="1469">
        <v>1.2182555012044129</v>
      </c>
      <c r="O563" s="1469">
        <v>1.2182555012044129</v>
      </c>
    </row>
    <row r="564" spans="11:15">
      <c r="K564" s="1466">
        <v>42621</v>
      </c>
      <c r="L564" s="1467" t="s">
        <v>2127</v>
      </c>
      <c r="M564" s="1468">
        <v>5.2531000000000001E-2</v>
      </c>
      <c r="N564" s="1469">
        <v>1.2188954630017506</v>
      </c>
      <c r="O564" s="1469">
        <v>1.2188954630017506</v>
      </c>
    </row>
    <row r="565" spans="11:15">
      <c r="K565" s="1466">
        <v>42622</v>
      </c>
      <c r="L565" s="1467" t="s">
        <v>2127</v>
      </c>
      <c r="M565" s="1468">
        <v>5.2531000000000001E-2</v>
      </c>
      <c r="N565" s="1469">
        <v>1.21953576097742</v>
      </c>
      <c r="O565" s="1469">
        <v>1.21953576097742</v>
      </c>
    </row>
    <row r="566" spans="11:15">
      <c r="K566" s="1466">
        <v>42623</v>
      </c>
      <c r="L566" s="1467"/>
      <c r="M566" s="1468">
        <v>0</v>
      </c>
      <c r="N566" s="1469">
        <v>1.21953576097742</v>
      </c>
      <c r="O566" s="1469">
        <v>1.21953576097742</v>
      </c>
    </row>
    <row r="567" spans="11:15">
      <c r="K567" s="1466">
        <v>42624</v>
      </c>
      <c r="L567" s="1467"/>
      <c r="M567" s="1468">
        <v>0</v>
      </c>
      <c r="N567" s="1469">
        <v>1.21953576097742</v>
      </c>
      <c r="O567" s="1469">
        <v>1.21953576097742</v>
      </c>
    </row>
    <row r="568" spans="11:15">
      <c r="K568" s="1466">
        <v>42625</v>
      </c>
      <c r="L568" s="1467" t="s">
        <v>2127</v>
      </c>
      <c r="M568" s="1468">
        <v>5.2531000000000001E-2</v>
      </c>
      <c r="N568" s="1469">
        <v>1.2201763953080191</v>
      </c>
      <c r="O568" s="1469">
        <v>1.2201763953080191</v>
      </c>
    </row>
    <row r="569" spans="11:15">
      <c r="K569" s="1466">
        <v>42626</v>
      </c>
      <c r="L569" s="1467" t="s">
        <v>2127</v>
      </c>
      <c r="M569" s="1468">
        <v>5.2531000000000001E-2</v>
      </c>
      <c r="N569" s="1469">
        <v>1.2208173661702384</v>
      </c>
      <c r="O569" s="1469">
        <v>1.2208173661702384</v>
      </c>
    </row>
    <row r="570" spans="11:15">
      <c r="K570" s="1466">
        <v>42627</v>
      </c>
      <c r="L570" s="1467" t="s">
        <v>2127</v>
      </c>
      <c r="M570" s="1468">
        <v>5.2531000000000001E-2</v>
      </c>
      <c r="N570" s="1469">
        <v>1.2214586737408613</v>
      </c>
      <c r="O570" s="1469">
        <v>1.2214586737408613</v>
      </c>
    </row>
    <row r="571" spans="11:15">
      <c r="K571" s="1466">
        <v>42628</v>
      </c>
      <c r="L571" s="1467" t="s">
        <v>2127</v>
      </c>
      <c r="M571" s="1468">
        <v>5.2531000000000001E-2</v>
      </c>
      <c r="N571" s="1469">
        <v>1.222100318196764</v>
      </c>
      <c r="O571" s="1469">
        <v>1.222100318196764</v>
      </c>
    </row>
    <row r="572" spans="11:15">
      <c r="K572" s="1466">
        <v>42629</v>
      </c>
      <c r="L572" s="1467" t="s">
        <v>2127</v>
      </c>
      <c r="M572" s="1468">
        <v>5.2531000000000001E-2</v>
      </c>
      <c r="N572" s="1469">
        <v>1.222742299714916</v>
      </c>
      <c r="O572" s="1469">
        <v>1.222742299714916</v>
      </c>
    </row>
    <row r="573" spans="11:15">
      <c r="K573" s="1466">
        <v>42630</v>
      </c>
      <c r="L573" s="1467"/>
      <c r="M573" s="1468">
        <v>0</v>
      </c>
      <c r="N573" s="1469">
        <v>1.222742299714916</v>
      </c>
      <c r="O573" s="1469">
        <v>1.222742299714916</v>
      </c>
    </row>
    <row r="574" spans="11:15">
      <c r="K574" s="1466">
        <v>42631</v>
      </c>
      <c r="L574" s="1467"/>
      <c r="M574" s="1468">
        <v>0</v>
      </c>
      <c r="N574" s="1469">
        <v>1.222742299714916</v>
      </c>
      <c r="O574" s="1469">
        <v>1.222742299714916</v>
      </c>
    </row>
    <row r="575" spans="11:15">
      <c r="K575" s="1466">
        <v>42632</v>
      </c>
      <c r="L575" s="1467" t="s">
        <v>2127</v>
      </c>
      <c r="M575" s="1468">
        <v>5.2531000000000001E-2</v>
      </c>
      <c r="N575" s="1469">
        <v>1.2233846184723793</v>
      </c>
      <c r="O575" s="1469">
        <v>1.2233846184723793</v>
      </c>
    </row>
    <row r="576" spans="11:15">
      <c r="K576" s="1466">
        <v>42633</v>
      </c>
      <c r="L576" s="1467" t="s">
        <v>2127</v>
      </c>
      <c r="M576" s="1468">
        <v>5.2531000000000001E-2</v>
      </c>
      <c r="N576" s="1469">
        <v>1.224027274646309</v>
      </c>
      <c r="O576" s="1469">
        <v>1.224027274646309</v>
      </c>
    </row>
    <row r="577" spans="11:15">
      <c r="K577" s="1466">
        <v>42634</v>
      </c>
      <c r="L577" s="1467" t="s">
        <v>2127</v>
      </c>
      <c r="M577" s="1468">
        <v>5.2531000000000001E-2</v>
      </c>
      <c r="N577" s="1469">
        <v>1.2246702684139534</v>
      </c>
      <c r="O577" s="1469">
        <v>1.2246702684139534</v>
      </c>
    </row>
    <row r="578" spans="11:15">
      <c r="K578" s="1466">
        <v>42635</v>
      </c>
      <c r="L578" s="1467" t="s">
        <v>2127</v>
      </c>
      <c r="M578" s="1468">
        <v>5.2531000000000001E-2</v>
      </c>
      <c r="N578" s="1469">
        <v>1.2253135999526539</v>
      </c>
      <c r="O578" s="1469">
        <v>1.2253135999526539</v>
      </c>
    </row>
    <row r="579" spans="11:15">
      <c r="K579" s="1466">
        <v>42636</v>
      </c>
      <c r="L579" s="1467" t="s">
        <v>2127</v>
      </c>
      <c r="M579" s="1468">
        <v>5.2531000000000001E-2</v>
      </c>
      <c r="N579" s="1469">
        <v>1.2259572694398451</v>
      </c>
      <c r="O579" s="1469">
        <v>1.2259572694398451</v>
      </c>
    </row>
    <row r="580" spans="11:15">
      <c r="K580" s="1466">
        <v>42637</v>
      </c>
      <c r="L580" s="1467"/>
      <c r="M580" s="1468">
        <v>0</v>
      </c>
      <c r="N580" s="1469">
        <v>1.2259572694398451</v>
      </c>
      <c r="O580" s="1469">
        <v>1.2259572694398451</v>
      </c>
    </row>
    <row r="581" spans="11:15">
      <c r="K581" s="1466">
        <v>42638</v>
      </c>
      <c r="L581" s="1467"/>
      <c r="M581" s="1468">
        <v>0</v>
      </c>
      <c r="N581" s="1469">
        <v>1.2259572694398451</v>
      </c>
      <c r="O581" s="1469">
        <v>1.2259572694398451</v>
      </c>
    </row>
    <row r="582" spans="11:15">
      <c r="K582" s="1466">
        <v>42639</v>
      </c>
      <c r="L582" s="1467" t="s">
        <v>2127</v>
      </c>
      <c r="M582" s="1468">
        <v>5.2531000000000001E-2</v>
      </c>
      <c r="N582" s="1469">
        <v>1.2266012770530546</v>
      </c>
      <c r="O582" s="1469">
        <v>1.2266012770530546</v>
      </c>
    </row>
    <row r="583" spans="11:15">
      <c r="K583" s="1466">
        <v>42640</v>
      </c>
      <c r="L583" s="1467" t="s">
        <v>2127</v>
      </c>
      <c r="M583" s="1468">
        <v>5.2531000000000001E-2</v>
      </c>
      <c r="N583" s="1469">
        <v>1.2272456229699034</v>
      </c>
      <c r="O583" s="1469">
        <v>1.2272456229699034</v>
      </c>
    </row>
    <row r="584" spans="11:15">
      <c r="K584" s="1466">
        <v>42641</v>
      </c>
      <c r="L584" s="1467" t="s">
        <v>2127</v>
      </c>
      <c r="M584" s="1468">
        <v>5.2531000000000001E-2</v>
      </c>
      <c r="N584" s="1469">
        <v>1.2278903073681058</v>
      </c>
      <c r="O584" s="1469">
        <v>1.2278903073681058</v>
      </c>
    </row>
    <row r="585" spans="11:15">
      <c r="K585" s="1466">
        <v>42642</v>
      </c>
      <c r="L585" s="1467" t="s">
        <v>2127</v>
      </c>
      <c r="M585" s="1468">
        <v>5.2531000000000001E-2</v>
      </c>
      <c r="N585" s="1469">
        <v>1.2285353304254694</v>
      </c>
      <c r="O585" s="1469">
        <v>1.2285353304254694</v>
      </c>
    </row>
    <row r="586" spans="11:15">
      <c r="K586" s="1466">
        <v>42643</v>
      </c>
      <c r="L586" s="1467" t="s">
        <v>2127</v>
      </c>
      <c r="M586" s="1468">
        <v>5.2531000000000001E-2</v>
      </c>
      <c r="N586" s="1469">
        <v>1.2291806923198951</v>
      </c>
      <c r="O586" s="1469">
        <v>1.2291806923198951</v>
      </c>
    </row>
    <row r="587" spans="11:15">
      <c r="K587" s="1466">
        <v>42644</v>
      </c>
      <c r="L587" s="1467"/>
      <c r="M587" s="1468">
        <v>0</v>
      </c>
      <c r="N587" s="1469">
        <v>1.2291806923198951</v>
      </c>
      <c r="O587" s="1469">
        <v>1.2291806923198951</v>
      </c>
    </row>
    <row r="588" spans="11:15">
      <c r="K588" s="1466">
        <v>42645</v>
      </c>
      <c r="L588" s="1467"/>
      <c r="M588" s="1468">
        <v>0</v>
      </c>
      <c r="N588" s="1469">
        <v>1.2291806923198951</v>
      </c>
      <c r="O588" s="1469">
        <v>1.2291806923198951</v>
      </c>
    </row>
    <row r="589" spans="11:15">
      <c r="K589" s="1466">
        <v>42646</v>
      </c>
      <c r="L589" s="1467" t="s">
        <v>2127</v>
      </c>
      <c r="M589" s="1468">
        <v>5.2531000000000001E-2</v>
      </c>
      <c r="N589" s="1469">
        <v>1.2298263932293776</v>
      </c>
      <c r="O589" s="1469">
        <v>1.2298263932293776</v>
      </c>
    </row>
    <row r="590" spans="11:15">
      <c r="K590" s="1466">
        <v>42647</v>
      </c>
      <c r="L590" s="1467" t="s">
        <v>2127</v>
      </c>
      <c r="M590" s="1468">
        <v>5.2531000000000001E-2</v>
      </c>
      <c r="N590" s="1469">
        <v>1.230472433332005</v>
      </c>
      <c r="O590" s="1469">
        <v>1.230472433332005</v>
      </c>
    </row>
    <row r="591" spans="11:15">
      <c r="K591" s="1466">
        <v>42648</v>
      </c>
      <c r="L591" s="1467" t="s">
        <v>2127</v>
      </c>
      <c r="M591" s="1468">
        <v>5.2531000000000001E-2</v>
      </c>
      <c r="N591" s="1469">
        <v>1.2311188128059587</v>
      </c>
      <c r="O591" s="1469">
        <v>1.2311188128059587</v>
      </c>
    </row>
    <row r="592" spans="11:15">
      <c r="K592" s="1466">
        <v>42649</v>
      </c>
      <c r="L592" s="1467" t="s">
        <v>2127</v>
      </c>
      <c r="M592" s="1468">
        <v>5.2531000000000001E-2</v>
      </c>
      <c r="N592" s="1469">
        <v>1.2317655318295138</v>
      </c>
      <c r="O592" s="1469">
        <v>1.2317655318295138</v>
      </c>
    </row>
    <row r="593" spans="11:15">
      <c r="K593" s="1466">
        <v>42650</v>
      </c>
      <c r="L593" s="1467" t="s">
        <v>2127</v>
      </c>
      <c r="M593" s="1468">
        <v>5.2531000000000001E-2</v>
      </c>
      <c r="N593" s="1469">
        <v>1.232412590581039</v>
      </c>
      <c r="O593" s="1469">
        <v>1.232412590581039</v>
      </c>
    </row>
    <row r="594" spans="11:15">
      <c r="K594" s="1466">
        <v>42651</v>
      </c>
      <c r="L594" s="1467"/>
      <c r="M594" s="1468">
        <v>0</v>
      </c>
      <c r="N594" s="1469">
        <v>1.232412590581039</v>
      </c>
      <c r="O594" s="1469">
        <v>1.232412590581039</v>
      </c>
    </row>
    <row r="595" spans="11:15">
      <c r="K595" s="1466">
        <v>42652</v>
      </c>
      <c r="L595" s="1467"/>
      <c r="M595" s="1468">
        <v>0</v>
      </c>
      <c r="N595" s="1469">
        <v>1.232412590581039</v>
      </c>
      <c r="O595" s="1469">
        <v>1.232412590581039</v>
      </c>
    </row>
    <row r="596" spans="11:15">
      <c r="K596" s="1466">
        <v>42653</v>
      </c>
      <c r="L596" s="1467" t="s">
        <v>2127</v>
      </c>
      <c r="M596" s="1468">
        <v>5.2531000000000001E-2</v>
      </c>
      <c r="N596" s="1469">
        <v>1.2330599892389971</v>
      </c>
      <c r="O596" s="1469">
        <v>1.2330599892389971</v>
      </c>
    </row>
    <row r="597" spans="11:15">
      <c r="K597" s="1466">
        <v>42654</v>
      </c>
      <c r="L597" s="1467" t="s">
        <v>2127</v>
      </c>
      <c r="M597" s="1468">
        <v>5.2531000000000001E-2</v>
      </c>
      <c r="N597" s="1469">
        <v>1.2337077279819442</v>
      </c>
      <c r="O597" s="1469">
        <v>1.2337077279819442</v>
      </c>
    </row>
    <row r="598" spans="11:15">
      <c r="K598" s="1466">
        <v>42655</v>
      </c>
      <c r="L598" s="1467"/>
      <c r="M598" s="1468">
        <v>0</v>
      </c>
      <c r="N598" s="1469">
        <v>1.2337077279819442</v>
      </c>
      <c r="O598" s="1469">
        <v>1.2337077279819442</v>
      </c>
    </row>
    <row r="599" spans="11:15">
      <c r="K599" s="1466">
        <v>42656</v>
      </c>
      <c r="L599" s="1467" t="s">
        <v>2127</v>
      </c>
      <c r="M599" s="1468">
        <v>5.2531000000000001E-2</v>
      </c>
      <c r="N599" s="1469">
        <v>1.2343558069885303</v>
      </c>
      <c r="O599" s="1469">
        <v>1.2343558069885303</v>
      </c>
    </row>
    <row r="600" spans="11:15">
      <c r="K600" s="1466">
        <v>42657</v>
      </c>
      <c r="L600" s="1467" t="s">
        <v>2127</v>
      </c>
      <c r="M600" s="1468">
        <v>5.2531000000000001E-2</v>
      </c>
      <c r="N600" s="1469">
        <v>1.2350042264374994</v>
      </c>
      <c r="O600" s="1469">
        <v>1.2350042264374994</v>
      </c>
    </row>
    <row r="601" spans="11:15">
      <c r="K601" s="1466">
        <v>42658</v>
      </c>
      <c r="L601" s="1467"/>
      <c r="M601" s="1468">
        <v>0</v>
      </c>
      <c r="N601" s="1469">
        <v>1.2350042264374994</v>
      </c>
      <c r="O601" s="1469">
        <v>1.2350042264374994</v>
      </c>
    </row>
    <row r="602" spans="11:15">
      <c r="K602" s="1466">
        <v>42659</v>
      </c>
      <c r="L602" s="1467"/>
      <c r="M602" s="1468">
        <v>0</v>
      </c>
      <c r="N602" s="1469">
        <v>1.2350042264374994</v>
      </c>
      <c r="O602" s="1469">
        <v>1.2350042264374994</v>
      </c>
    </row>
    <row r="603" spans="11:15">
      <c r="K603" s="1466">
        <v>42660</v>
      </c>
      <c r="L603" s="1467" t="s">
        <v>2127</v>
      </c>
      <c r="M603" s="1468">
        <v>5.2531000000000001E-2</v>
      </c>
      <c r="N603" s="1469">
        <v>1.2356529865076893</v>
      </c>
      <c r="O603" s="1469">
        <v>1.2356529865076893</v>
      </c>
    </row>
    <row r="604" spans="11:15">
      <c r="K604" s="1466">
        <v>42661</v>
      </c>
      <c r="L604" s="1467" t="s">
        <v>2127</v>
      </c>
      <c r="M604" s="1468">
        <v>5.2531000000000001E-2</v>
      </c>
      <c r="N604" s="1469">
        <v>1.2363020873780317</v>
      </c>
      <c r="O604" s="1469">
        <v>1.2363020873780317</v>
      </c>
    </row>
    <row r="605" spans="11:15">
      <c r="K605" s="1466">
        <v>42662</v>
      </c>
      <c r="L605" s="1467" t="s">
        <v>2127</v>
      </c>
      <c r="M605" s="1468">
        <v>5.2531000000000001E-2</v>
      </c>
      <c r="N605" s="1469">
        <v>1.2369515292275524</v>
      </c>
      <c r="O605" s="1469">
        <v>1.2369515292275524</v>
      </c>
    </row>
    <row r="606" spans="11:15">
      <c r="K606" s="1466">
        <v>42663</v>
      </c>
      <c r="L606" s="1467" t="s">
        <v>2127</v>
      </c>
      <c r="M606" s="1468">
        <v>5.1659999999999998E-2</v>
      </c>
      <c r="N606" s="1469">
        <v>1.2375905383875514</v>
      </c>
      <c r="O606" s="1469">
        <v>1.2376013122353708</v>
      </c>
    </row>
    <row r="607" spans="11:15">
      <c r="K607" s="1466">
        <v>42664</v>
      </c>
      <c r="L607" s="1467" t="s">
        <v>2127</v>
      </c>
      <c r="M607" s="1468">
        <v>5.1659999999999998E-2</v>
      </c>
      <c r="N607" s="1469">
        <v>1.2382298776596825</v>
      </c>
      <c r="O607" s="1469">
        <v>1.2382514365807011</v>
      </c>
    </row>
    <row r="608" spans="11:15">
      <c r="K608" s="1466">
        <v>42665</v>
      </c>
      <c r="L608" s="1467"/>
      <c r="M608" s="1468">
        <v>0</v>
      </c>
      <c r="N608" s="1469">
        <v>1.2382298776596825</v>
      </c>
      <c r="O608" s="1469">
        <v>1.2382514365807011</v>
      </c>
    </row>
    <row r="609" spans="11:15">
      <c r="K609" s="1466">
        <v>42666</v>
      </c>
      <c r="L609" s="1467"/>
      <c r="M609" s="1468">
        <v>0</v>
      </c>
      <c r="N609" s="1469">
        <v>1.2382298776596825</v>
      </c>
      <c r="O609" s="1469">
        <v>1.2382514365807011</v>
      </c>
    </row>
    <row r="610" spans="11:15">
      <c r="K610" s="1466">
        <v>42667</v>
      </c>
      <c r="L610" s="1467" t="s">
        <v>2127</v>
      </c>
      <c r="M610" s="1468">
        <v>5.1659999999999998E-2</v>
      </c>
      <c r="N610" s="1469">
        <v>1.2388695472144815</v>
      </c>
      <c r="O610" s="1469">
        <v>1.2389019024428514</v>
      </c>
    </row>
    <row r="611" spans="11:15">
      <c r="K611" s="1466">
        <v>42668</v>
      </c>
      <c r="L611" s="1467" t="s">
        <v>2127</v>
      </c>
      <c r="M611" s="1468">
        <v>5.1659999999999998E-2</v>
      </c>
      <c r="N611" s="1469">
        <v>1.2395095472225726</v>
      </c>
      <c r="O611" s="1469">
        <v>1.2395527100012236</v>
      </c>
    </row>
    <row r="612" spans="11:15">
      <c r="K612" s="1466">
        <v>42669</v>
      </c>
      <c r="L612" s="1467" t="s">
        <v>2127</v>
      </c>
      <c r="M612" s="1468">
        <v>5.1659999999999998E-2</v>
      </c>
      <c r="N612" s="1469">
        <v>1.2401498778546678</v>
      </c>
      <c r="O612" s="1469">
        <v>1.2402038594353144</v>
      </c>
    </row>
    <row r="613" spans="11:15">
      <c r="K613" s="1466">
        <v>42670</v>
      </c>
      <c r="L613" s="1467" t="s">
        <v>2127</v>
      </c>
      <c r="M613" s="1468">
        <v>5.1659999999999998E-2</v>
      </c>
      <c r="N613" s="1469">
        <v>1.2407905392815677</v>
      </c>
      <c r="O613" s="1469">
        <v>1.2408553509247144</v>
      </c>
    </row>
    <row r="614" spans="11:15">
      <c r="K614" s="1466">
        <v>42671</v>
      </c>
      <c r="L614" s="1467" t="s">
        <v>2127</v>
      </c>
      <c r="M614" s="1468">
        <v>5.1659999999999998E-2</v>
      </c>
      <c r="N614" s="1469">
        <v>1.2414315316741606</v>
      </c>
      <c r="O614" s="1469">
        <v>1.2415071846491088</v>
      </c>
    </row>
    <row r="615" spans="11:15">
      <c r="K615" s="1466">
        <v>42672</v>
      </c>
      <c r="L615" s="1467"/>
      <c r="M615" s="1468">
        <v>0</v>
      </c>
      <c r="N615" s="1469">
        <v>1.2414315316741606</v>
      </c>
      <c r="O615" s="1469">
        <v>1.2415071846491088</v>
      </c>
    </row>
    <row r="616" spans="11:15">
      <c r="K616" s="1466">
        <v>42673</v>
      </c>
      <c r="L616" s="1467"/>
      <c r="M616" s="1468">
        <v>0</v>
      </c>
      <c r="N616" s="1469">
        <v>1.2414315316741606</v>
      </c>
      <c r="O616" s="1469">
        <v>1.2415071846491088</v>
      </c>
    </row>
    <row r="617" spans="11:15">
      <c r="K617" s="1466">
        <v>42674</v>
      </c>
      <c r="L617" s="1467" t="s">
        <v>2127</v>
      </c>
      <c r="M617" s="1468">
        <v>5.1659999999999998E-2</v>
      </c>
      <c r="N617" s="1469">
        <v>1.2420728552034237</v>
      </c>
      <c r="O617" s="1469">
        <v>1.2421593607882768</v>
      </c>
    </row>
    <row r="618" spans="11:15">
      <c r="K618" s="1466">
        <v>42675</v>
      </c>
      <c r="L618" s="1467" t="s">
        <v>2127</v>
      </c>
      <c r="M618" s="1468">
        <v>5.1659999999999998E-2</v>
      </c>
      <c r="N618" s="1469">
        <v>1.242714510040422</v>
      </c>
      <c r="O618" s="1469">
        <v>1.2428118795220926</v>
      </c>
    </row>
    <row r="619" spans="11:15">
      <c r="K619" s="1466">
        <v>42676</v>
      </c>
      <c r="L619" s="1467"/>
      <c r="M619" s="1468">
        <v>0</v>
      </c>
      <c r="N619" s="1469">
        <v>1.242714510040422</v>
      </c>
      <c r="O619" s="1469">
        <v>1.2428118795220926</v>
      </c>
    </row>
    <row r="620" spans="11:15">
      <c r="K620" s="1466">
        <v>42677</v>
      </c>
      <c r="L620" s="1467" t="s">
        <v>2127</v>
      </c>
      <c r="M620" s="1468">
        <v>5.1659999999999998E-2</v>
      </c>
      <c r="N620" s="1469">
        <v>1.2433564963563091</v>
      </c>
      <c r="O620" s="1469">
        <v>1.2434647410305244</v>
      </c>
    </row>
    <row r="621" spans="11:15">
      <c r="K621" s="1466">
        <v>42678</v>
      </c>
      <c r="L621" s="1467" t="s">
        <v>2127</v>
      </c>
      <c r="M621" s="1468">
        <v>5.1659999999999998E-2</v>
      </c>
      <c r="N621" s="1469">
        <v>1.2439988143223268</v>
      </c>
      <c r="O621" s="1469">
        <v>1.2441179454936351</v>
      </c>
    </row>
    <row r="622" spans="11:15">
      <c r="K622" s="1466">
        <v>42679</v>
      </c>
      <c r="L622" s="1467"/>
      <c r="M622" s="1468">
        <v>0</v>
      </c>
      <c r="N622" s="1469">
        <v>1.2439988143223268</v>
      </c>
      <c r="O622" s="1469">
        <v>1.2441179454936351</v>
      </c>
    </row>
    <row r="623" spans="11:15">
      <c r="K623" s="1466">
        <v>42680</v>
      </c>
      <c r="L623" s="1467"/>
      <c r="M623" s="1468">
        <v>0</v>
      </c>
      <c r="N623" s="1469">
        <v>1.2439988143223268</v>
      </c>
      <c r="O623" s="1469">
        <v>1.2441179454936351</v>
      </c>
    </row>
    <row r="624" spans="11:15">
      <c r="K624" s="1466">
        <v>42681</v>
      </c>
      <c r="L624" s="1467" t="s">
        <v>2127</v>
      </c>
      <c r="M624" s="1468">
        <v>5.1659999999999998E-2</v>
      </c>
      <c r="N624" s="1469">
        <v>1.2446414641098058</v>
      </c>
      <c r="O624" s="1469">
        <v>1.2447714930915823</v>
      </c>
    </row>
    <row r="625" spans="11:15">
      <c r="K625" s="1466">
        <v>42682</v>
      </c>
      <c r="L625" s="1467" t="s">
        <v>2127</v>
      </c>
      <c r="M625" s="1468">
        <v>5.1659999999999998E-2</v>
      </c>
      <c r="N625" s="1469">
        <v>1.2452844458901651</v>
      </c>
      <c r="O625" s="1469">
        <v>1.2454253840046183</v>
      </c>
    </row>
    <row r="626" spans="11:15">
      <c r="K626" s="1466">
        <v>42683</v>
      </c>
      <c r="L626" s="1467" t="s">
        <v>2127</v>
      </c>
      <c r="M626" s="1468">
        <v>5.1659999999999998E-2</v>
      </c>
      <c r="N626" s="1469">
        <v>1.2459277598349121</v>
      </c>
      <c r="O626" s="1469">
        <v>1.2460796184130898</v>
      </c>
    </row>
    <row r="627" spans="11:15">
      <c r="K627" s="1466">
        <v>42684</v>
      </c>
      <c r="L627" s="1467" t="s">
        <v>2127</v>
      </c>
      <c r="M627" s="1468">
        <v>5.1659999999999998E-2</v>
      </c>
      <c r="N627" s="1469">
        <v>1.246571406115643</v>
      </c>
      <c r="O627" s="1469">
        <v>1.2467341964974383</v>
      </c>
    </row>
    <row r="628" spans="11:15">
      <c r="K628" s="1466">
        <v>42685</v>
      </c>
      <c r="L628" s="1467" t="s">
        <v>2127</v>
      </c>
      <c r="M628" s="1468">
        <v>5.1659999999999998E-2</v>
      </c>
      <c r="N628" s="1469">
        <v>1.2472153849040424</v>
      </c>
      <c r="O628" s="1469">
        <v>1.2473891184382004</v>
      </c>
    </row>
    <row r="629" spans="11:15">
      <c r="K629" s="1466">
        <v>42686</v>
      </c>
      <c r="L629" s="1467"/>
      <c r="M629" s="1468">
        <v>0</v>
      </c>
      <c r="N629" s="1469">
        <v>1.2472153849040424</v>
      </c>
      <c r="O629" s="1469">
        <v>1.2473891184382004</v>
      </c>
    </row>
    <row r="630" spans="11:15">
      <c r="K630" s="1466">
        <v>42687</v>
      </c>
      <c r="L630" s="1467"/>
      <c r="M630" s="1468">
        <v>0</v>
      </c>
      <c r="N630" s="1469">
        <v>1.2472153849040424</v>
      </c>
      <c r="O630" s="1469">
        <v>1.2473891184382004</v>
      </c>
    </row>
    <row r="631" spans="11:15">
      <c r="K631" s="1466">
        <v>42688</v>
      </c>
      <c r="L631" s="1467" t="s">
        <v>2127</v>
      </c>
      <c r="M631" s="1468">
        <v>5.1659999999999998E-2</v>
      </c>
      <c r="N631" s="1469">
        <v>1.247859696371884</v>
      </c>
      <c r="O631" s="1469">
        <v>1.2480443844160072</v>
      </c>
    </row>
    <row r="632" spans="11:15">
      <c r="K632" s="1466">
        <v>42689</v>
      </c>
      <c r="L632" s="1467"/>
      <c r="M632" s="1468">
        <v>0</v>
      </c>
      <c r="N632" s="1469">
        <v>1.247859696371884</v>
      </c>
      <c r="O632" s="1469">
        <v>1.2480443844160072</v>
      </c>
    </row>
    <row r="633" spans="11:15">
      <c r="K633" s="1466">
        <v>42690</v>
      </c>
      <c r="L633" s="1467" t="s">
        <v>2127</v>
      </c>
      <c r="M633" s="1468">
        <v>5.1659999999999998E-2</v>
      </c>
      <c r="N633" s="1469">
        <v>1.2485043406910299</v>
      </c>
      <c r="O633" s="1469">
        <v>1.2486999946115847</v>
      </c>
    </row>
    <row r="634" spans="11:15">
      <c r="K634" s="1466">
        <v>42691</v>
      </c>
      <c r="L634" s="1467" t="s">
        <v>2127</v>
      </c>
      <c r="M634" s="1468">
        <v>5.1659999999999998E-2</v>
      </c>
      <c r="N634" s="1469">
        <v>1.249149318033431</v>
      </c>
      <c r="O634" s="1469">
        <v>1.249355949205754</v>
      </c>
    </row>
    <row r="635" spans="11:15">
      <c r="K635" s="1466">
        <v>42692</v>
      </c>
      <c r="L635" s="1467" t="s">
        <v>2127</v>
      </c>
      <c r="M635" s="1468">
        <v>5.1659999999999998E-2</v>
      </c>
      <c r="N635" s="1469">
        <v>1.2497946285711272</v>
      </c>
      <c r="O635" s="1469">
        <v>1.2500122483794314</v>
      </c>
    </row>
    <row r="636" spans="11:15">
      <c r="K636" s="1466">
        <v>42693</v>
      </c>
      <c r="L636" s="1467"/>
      <c r="M636" s="1468">
        <v>0</v>
      </c>
      <c r="N636" s="1469">
        <v>1.2497946285711272</v>
      </c>
      <c r="O636" s="1469">
        <v>1.2500122483794314</v>
      </c>
    </row>
    <row r="637" spans="11:15">
      <c r="K637" s="1466">
        <v>42694</v>
      </c>
      <c r="L637" s="1467"/>
      <c r="M637" s="1468">
        <v>0</v>
      </c>
      <c r="N637" s="1469">
        <v>1.2497946285711272</v>
      </c>
      <c r="O637" s="1469">
        <v>1.2500122483794314</v>
      </c>
    </row>
    <row r="638" spans="11:15">
      <c r="K638" s="1466">
        <v>42695</v>
      </c>
      <c r="L638" s="1467" t="s">
        <v>2127</v>
      </c>
      <c r="M638" s="1468">
        <v>5.1659999999999998E-2</v>
      </c>
      <c r="N638" s="1469">
        <v>1.2504402724762471</v>
      </c>
      <c r="O638" s="1469">
        <v>1.2506688923136275</v>
      </c>
    </row>
    <row r="639" spans="11:15">
      <c r="K639" s="1466">
        <v>42696</v>
      </c>
      <c r="L639" s="1467" t="s">
        <v>2127</v>
      </c>
      <c r="M639" s="1468">
        <v>5.1659999999999998E-2</v>
      </c>
      <c r="N639" s="1469">
        <v>1.2510862499210085</v>
      </c>
      <c r="O639" s="1469">
        <v>1.2513258811894488</v>
      </c>
    </row>
    <row r="640" spans="11:15">
      <c r="K640" s="1466">
        <v>42697</v>
      </c>
      <c r="L640" s="1467" t="s">
        <v>2127</v>
      </c>
      <c r="M640" s="1468">
        <v>5.1659999999999998E-2</v>
      </c>
      <c r="N640" s="1469">
        <v>1.2517325610777177</v>
      </c>
      <c r="O640" s="1469">
        <v>1.2519832151880963</v>
      </c>
    </row>
    <row r="641" spans="11:15">
      <c r="K641" s="1466">
        <v>42698</v>
      </c>
      <c r="L641" s="1467" t="s">
        <v>2127</v>
      </c>
      <c r="M641" s="1468">
        <v>5.1659999999999998E-2</v>
      </c>
      <c r="N641" s="1469">
        <v>1.2523792061187706</v>
      </c>
      <c r="O641" s="1469">
        <v>1.2526408944908667</v>
      </c>
    </row>
    <row r="642" spans="11:15">
      <c r="K642" s="1466">
        <v>42699</v>
      </c>
      <c r="L642" s="1467" t="s">
        <v>2127</v>
      </c>
      <c r="M642" s="1468">
        <v>5.1659999999999998E-2</v>
      </c>
      <c r="N642" s="1469">
        <v>1.2530261852166518</v>
      </c>
      <c r="O642" s="1469">
        <v>1.2532989192791517</v>
      </c>
    </row>
    <row r="643" spans="11:15">
      <c r="K643" s="1466">
        <v>42700</v>
      </c>
      <c r="L643" s="1467"/>
      <c r="M643" s="1468">
        <v>0</v>
      </c>
      <c r="N643" s="1469">
        <v>1.2530261852166518</v>
      </c>
      <c r="O643" s="1469">
        <v>1.2532989192791517</v>
      </c>
    </row>
    <row r="644" spans="11:15">
      <c r="K644" s="1466">
        <v>42701</v>
      </c>
      <c r="L644" s="1467"/>
      <c r="M644" s="1468">
        <v>0</v>
      </c>
      <c r="N644" s="1469">
        <v>1.2530261852166518</v>
      </c>
      <c r="O644" s="1469">
        <v>1.2532989192791517</v>
      </c>
    </row>
    <row r="645" spans="11:15">
      <c r="K645" s="1466">
        <v>42702</v>
      </c>
      <c r="L645" s="1467" t="s">
        <v>2127</v>
      </c>
      <c r="M645" s="1468">
        <v>5.1659999999999998E-2</v>
      </c>
      <c r="N645" s="1469">
        <v>1.2536734985439348</v>
      </c>
      <c r="O645" s="1469">
        <v>1.2539572897344382</v>
      </c>
    </row>
    <row r="646" spans="11:15">
      <c r="K646" s="1466">
        <v>42703</v>
      </c>
      <c r="L646" s="1467" t="s">
        <v>2127</v>
      </c>
      <c r="M646" s="1468">
        <v>5.1659999999999998E-2</v>
      </c>
      <c r="N646" s="1469">
        <v>1.2543211462732828</v>
      </c>
      <c r="O646" s="1469">
        <v>1.2546160060383087</v>
      </c>
    </row>
    <row r="647" spans="11:15">
      <c r="K647" s="1466">
        <v>42704</v>
      </c>
      <c r="L647" s="1467" t="s">
        <v>2127</v>
      </c>
      <c r="M647" s="1468">
        <v>5.1659999999999998E-2</v>
      </c>
      <c r="N647" s="1469">
        <v>1.2549691285774478</v>
      </c>
      <c r="O647" s="1469">
        <v>1.2552750683724407</v>
      </c>
    </row>
    <row r="648" spans="11:15">
      <c r="K648" s="1466">
        <v>42705</v>
      </c>
      <c r="L648" s="1467" t="s">
        <v>2127</v>
      </c>
      <c r="M648" s="1468">
        <v>5.0788E-2</v>
      </c>
      <c r="N648" s="1469">
        <v>1.2556065022984697</v>
      </c>
      <c r="O648" s="1469">
        <v>1.2559344769186074</v>
      </c>
    </row>
    <row r="649" spans="11:15">
      <c r="K649" s="1466">
        <v>42706</v>
      </c>
      <c r="L649" s="1467" t="s">
        <v>2127</v>
      </c>
      <c r="M649" s="1468">
        <v>5.0788E-2</v>
      </c>
      <c r="N649" s="1469">
        <v>1.2562441997288571</v>
      </c>
      <c r="O649" s="1469">
        <v>1.2565942318586776</v>
      </c>
    </row>
    <row r="650" spans="11:15">
      <c r="K650" s="1466">
        <v>42707</v>
      </c>
      <c r="L650" s="1467"/>
      <c r="M650" s="1468">
        <v>0</v>
      </c>
      <c r="N650" s="1469">
        <v>1.2562441997288571</v>
      </c>
      <c r="O650" s="1469">
        <v>1.2565942318586776</v>
      </c>
    </row>
    <row r="651" spans="11:15">
      <c r="K651" s="1466">
        <v>42708</v>
      </c>
      <c r="L651" s="1467"/>
      <c r="M651" s="1468">
        <v>0</v>
      </c>
      <c r="N651" s="1469">
        <v>1.2562441997288571</v>
      </c>
      <c r="O651" s="1469">
        <v>1.2565942318586776</v>
      </c>
    </row>
    <row r="652" spans="11:15">
      <c r="K652" s="1466">
        <v>42709</v>
      </c>
      <c r="L652" s="1467" t="s">
        <v>2127</v>
      </c>
      <c r="M652" s="1468">
        <v>5.0788E-2</v>
      </c>
      <c r="N652" s="1469">
        <v>1.2568822210330155</v>
      </c>
      <c r="O652" s="1469">
        <v>1.2572543333746153</v>
      </c>
    </row>
    <row r="653" spans="11:15">
      <c r="K653" s="1466">
        <v>42710</v>
      </c>
      <c r="L653" s="1467" t="s">
        <v>2127</v>
      </c>
      <c r="M653" s="1468">
        <v>5.0788E-2</v>
      </c>
      <c r="N653" s="1469">
        <v>1.2575205663754339</v>
      </c>
      <c r="O653" s="1469">
        <v>1.2579147816484804</v>
      </c>
    </row>
    <row r="654" spans="11:15">
      <c r="K654" s="1466">
        <v>42711</v>
      </c>
      <c r="L654" s="1467" t="s">
        <v>2127</v>
      </c>
      <c r="M654" s="1468">
        <v>5.0788E-2</v>
      </c>
      <c r="N654" s="1469">
        <v>1.2581592359206846</v>
      </c>
      <c r="O654" s="1469">
        <v>1.258575576862428</v>
      </c>
    </row>
    <row r="655" spans="11:15">
      <c r="K655" s="1466">
        <v>42712</v>
      </c>
      <c r="L655" s="1467" t="s">
        <v>2127</v>
      </c>
      <c r="M655" s="1468">
        <v>5.0788E-2</v>
      </c>
      <c r="N655" s="1469">
        <v>1.2587982298334239</v>
      </c>
      <c r="O655" s="1469">
        <v>1.2592367191987097</v>
      </c>
    </row>
    <row r="656" spans="11:15">
      <c r="K656" s="1466">
        <v>42713</v>
      </c>
      <c r="L656" s="1467" t="s">
        <v>2127</v>
      </c>
      <c r="M656" s="1468">
        <v>5.0788E-2</v>
      </c>
      <c r="N656" s="1469">
        <v>1.2594375482783917</v>
      </c>
      <c r="O656" s="1469">
        <v>1.259898208839672</v>
      </c>
    </row>
    <row r="657" spans="11:15">
      <c r="K657" s="1466">
        <v>42714</v>
      </c>
      <c r="L657" s="1467"/>
      <c r="M657" s="1468">
        <v>0</v>
      </c>
      <c r="N657" s="1469">
        <v>1.2594375482783917</v>
      </c>
      <c r="O657" s="1469">
        <v>1.259898208839672</v>
      </c>
    </row>
    <row r="658" spans="11:15">
      <c r="K658" s="1466">
        <v>42715</v>
      </c>
      <c r="L658" s="1467"/>
      <c r="M658" s="1468">
        <v>0</v>
      </c>
      <c r="N658" s="1469">
        <v>1.2594375482783917</v>
      </c>
      <c r="O658" s="1469">
        <v>1.259898208839672</v>
      </c>
    </row>
    <row r="659" spans="11:15">
      <c r="K659" s="1466">
        <v>42716</v>
      </c>
      <c r="L659" s="1467" t="s">
        <v>2127</v>
      </c>
      <c r="M659" s="1468">
        <v>5.0788E-2</v>
      </c>
      <c r="N659" s="1469">
        <v>1.2600771914204114</v>
      </c>
      <c r="O659" s="1469">
        <v>1.2605600459677575</v>
      </c>
    </row>
    <row r="660" spans="11:15">
      <c r="K660" s="1466">
        <v>42717</v>
      </c>
      <c r="L660" s="1467" t="s">
        <v>2127</v>
      </c>
      <c r="M660" s="1468">
        <v>5.0788E-2</v>
      </c>
      <c r="N660" s="1469">
        <v>1.26071715942439</v>
      </c>
      <c r="O660" s="1469">
        <v>1.2612222307655048</v>
      </c>
    </row>
    <row r="661" spans="11:15">
      <c r="K661" s="1466">
        <v>42718</v>
      </c>
      <c r="L661" s="1467" t="s">
        <v>2127</v>
      </c>
      <c r="M661" s="1468">
        <v>5.0788E-2</v>
      </c>
      <c r="N661" s="1469">
        <v>1.2613574524553184</v>
      </c>
      <c r="O661" s="1469">
        <v>1.2618847634155481</v>
      </c>
    </row>
    <row r="662" spans="11:15">
      <c r="K662" s="1466">
        <v>42719</v>
      </c>
      <c r="L662" s="1467" t="s">
        <v>2127</v>
      </c>
      <c r="M662" s="1468">
        <v>5.0788E-2</v>
      </c>
      <c r="N662" s="1469">
        <v>1.2619980706782714</v>
      </c>
      <c r="O662" s="1469">
        <v>1.262547644100618</v>
      </c>
    </row>
    <row r="663" spans="11:15">
      <c r="K663" s="1466">
        <v>42720</v>
      </c>
      <c r="L663" s="1467" t="s">
        <v>2127</v>
      </c>
      <c r="M663" s="1468">
        <v>5.0788E-2</v>
      </c>
      <c r="N663" s="1469">
        <v>1.2626390142584074</v>
      </c>
      <c r="O663" s="1469">
        <v>1.2632108730035405</v>
      </c>
    </row>
    <row r="664" spans="11:15">
      <c r="K664" s="1466">
        <v>42721</v>
      </c>
      <c r="L664" s="1467"/>
      <c r="M664" s="1468">
        <v>0</v>
      </c>
      <c r="N664" s="1469">
        <v>1.2626390142584074</v>
      </c>
      <c r="O664" s="1469">
        <v>1.2632108730035405</v>
      </c>
    </row>
    <row r="665" spans="11:15">
      <c r="K665" s="1466">
        <v>42722</v>
      </c>
      <c r="L665" s="1467"/>
      <c r="M665" s="1468">
        <v>0</v>
      </c>
      <c r="N665" s="1469">
        <v>1.2626390142584074</v>
      </c>
      <c r="O665" s="1469">
        <v>1.2632108730035405</v>
      </c>
    </row>
    <row r="666" spans="11:15">
      <c r="K666" s="1466">
        <v>42723</v>
      </c>
      <c r="L666" s="1467" t="s">
        <v>2127</v>
      </c>
      <c r="M666" s="1468">
        <v>5.0788E-2</v>
      </c>
      <c r="N666" s="1469">
        <v>1.2632802833609691</v>
      </c>
      <c r="O666" s="1469">
        <v>1.2638744503072381</v>
      </c>
    </row>
    <row r="667" spans="11:15">
      <c r="K667" s="1466">
        <v>42724</v>
      </c>
      <c r="L667" s="1467" t="s">
        <v>2127</v>
      </c>
      <c r="M667" s="1468">
        <v>5.0788E-2</v>
      </c>
      <c r="N667" s="1469">
        <v>1.2639218781512824</v>
      </c>
      <c r="O667" s="1469">
        <v>1.2645383761947291</v>
      </c>
    </row>
    <row r="668" spans="11:15">
      <c r="K668" s="1466">
        <v>42725</v>
      </c>
      <c r="L668" s="1467" t="s">
        <v>2127</v>
      </c>
      <c r="M668" s="1468">
        <v>5.0788E-2</v>
      </c>
      <c r="N668" s="1469">
        <v>1.264563798794758</v>
      </c>
      <c r="O668" s="1469">
        <v>1.2652026508491279</v>
      </c>
    </row>
    <row r="669" spans="11:15">
      <c r="K669" s="1466">
        <v>42726</v>
      </c>
      <c r="L669" s="1467" t="s">
        <v>2127</v>
      </c>
      <c r="M669" s="1468">
        <v>5.0788E-2</v>
      </c>
      <c r="N669" s="1469">
        <v>1.2652060454568899</v>
      </c>
      <c r="O669" s="1469">
        <v>1.2658672744536454</v>
      </c>
    </row>
    <row r="670" spans="11:15">
      <c r="K670" s="1466">
        <v>42727</v>
      </c>
      <c r="L670" s="1467" t="s">
        <v>2127</v>
      </c>
      <c r="M670" s="1468">
        <v>5.0788E-2</v>
      </c>
      <c r="N670" s="1469">
        <v>1.2658486183032565</v>
      </c>
      <c r="O670" s="1469">
        <v>1.2665322471915887</v>
      </c>
    </row>
    <row r="671" spans="11:15">
      <c r="K671" s="1466">
        <v>42728</v>
      </c>
      <c r="L671" s="1467"/>
      <c r="M671" s="1468">
        <v>0</v>
      </c>
      <c r="N671" s="1469">
        <v>1.2658486183032565</v>
      </c>
      <c r="O671" s="1469">
        <v>1.2665322471915887</v>
      </c>
    </row>
    <row r="672" spans="11:15">
      <c r="K672" s="1466">
        <v>42729</v>
      </c>
      <c r="L672" s="1467"/>
      <c r="M672" s="1468">
        <v>0</v>
      </c>
      <c r="N672" s="1469">
        <v>1.2658486183032565</v>
      </c>
      <c r="O672" s="1469">
        <v>1.2665322471915887</v>
      </c>
    </row>
    <row r="673" spans="11:15">
      <c r="K673" s="1466">
        <v>42730</v>
      </c>
      <c r="L673" s="1467" t="s">
        <v>2127</v>
      </c>
      <c r="M673" s="1468">
        <v>5.0788E-2</v>
      </c>
      <c r="N673" s="1469">
        <v>1.2664915174995204</v>
      </c>
      <c r="O673" s="1469">
        <v>1.2671975692463611</v>
      </c>
    </row>
    <row r="674" spans="11:15">
      <c r="K674" s="1466">
        <v>42731</v>
      </c>
      <c r="L674" s="1467" t="s">
        <v>2127</v>
      </c>
      <c r="M674" s="1468">
        <v>5.0788E-2</v>
      </c>
      <c r="N674" s="1469">
        <v>1.2671347432114282</v>
      </c>
      <c r="O674" s="1469">
        <v>1.2678632408014618</v>
      </c>
    </row>
    <row r="675" spans="11:15">
      <c r="K675" s="1466">
        <v>42732</v>
      </c>
      <c r="L675" s="1467" t="s">
        <v>2127</v>
      </c>
      <c r="M675" s="1468">
        <v>5.0788E-2</v>
      </c>
      <c r="N675" s="1469">
        <v>1.2677782956048105</v>
      </c>
      <c r="O675" s="1469">
        <v>1.2685292620404873</v>
      </c>
    </row>
    <row r="676" spans="11:15">
      <c r="K676" s="1466">
        <v>42733</v>
      </c>
      <c r="L676" s="1467" t="s">
        <v>2127</v>
      </c>
      <c r="M676" s="1468">
        <v>5.0788E-2</v>
      </c>
      <c r="N676" s="1469">
        <v>1.2684221748455822</v>
      </c>
      <c r="O676" s="1469">
        <v>1.2691956331471299</v>
      </c>
    </row>
    <row r="677" spans="11:15">
      <c r="K677" s="1466">
        <v>42734</v>
      </c>
      <c r="L677" s="1467" t="s">
        <v>2127</v>
      </c>
      <c r="M677" s="1468">
        <v>5.0788E-2</v>
      </c>
      <c r="N677" s="1469">
        <v>1.2690663810997427</v>
      </c>
      <c r="O677" s="1469">
        <v>1.2698623543051784</v>
      </c>
    </row>
    <row r="678" spans="11:15">
      <c r="K678" s="1466">
        <v>42735</v>
      </c>
      <c r="L678" s="1467"/>
      <c r="M678" s="1468">
        <v>0</v>
      </c>
      <c r="N678" s="1469">
        <v>1.2690663810997427</v>
      </c>
      <c r="O678" s="1469">
        <v>1.2698623543051784</v>
      </c>
    </row>
    <row r="679" spans="11:15">
      <c r="K679" s="1466">
        <v>42736</v>
      </c>
      <c r="L679" s="1467"/>
      <c r="M679" s="1468">
        <v>0</v>
      </c>
      <c r="N679" s="1469">
        <v>1.2690663810997427</v>
      </c>
      <c r="O679" s="1469">
        <v>1.2698623543051784</v>
      </c>
    </row>
    <row r="680" spans="11:15">
      <c r="K680" s="1466">
        <v>42737</v>
      </c>
      <c r="L680" s="1467" t="s">
        <v>2127</v>
      </c>
      <c r="M680" s="1468">
        <v>5.0788E-2</v>
      </c>
      <c r="N680" s="1469">
        <v>1.2697109145333756</v>
      </c>
      <c r="O680" s="1469">
        <v>1.2705294256985185</v>
      </c>
    </row>
    <row r="681" spans="11:15">
      <c r="K681" s="1466">
        <v>42738</v>
      </c>
      <c r="L681" s="1467" t="s">
        <v>2127</v>
      </c>
      <c r="M681" s="1468">
        <v>5.0788E-2</v>
      </c>
      <c r="N681" s="1469">
        <v>1.2703557753126489</v>
      </c>
      <c r="O681" s="1469">
        <v>1.2711968475111322</v>
      </c>
    </row>
    <row r="682" spans="11:15">
      <c r="K682" s="1466">
        <v>42739</v>
      </c>
      <c r="L682" s="1467" t="s">
        <v>2127</v>
      </c>
      <c r="M682" s="1468">
        <v>5.0788E-2</v>
      </c>
      <c r="N682" s="1469">
        <v>1.2710009636038146</v>
      </c>
      <c r="O682" s="1469">
        <v>1.2718646199270982</v>
      </c>
    </row>
    <row r="683" spans="11:15">
      <c r="K683" s="1466">
        <v>42740</v>
      </c>
      <c r="L683" s="1467" t="s">
        <v>2127</v>
      </c>
      <c r="M683" s="1468">
        <v>5.0788E-2</v>
      </c>
      <c r="N683" s="1469">
        <v>1.2716464795732099</v>
      </c>
      <c r="O683" s="1469">
        <v>1.2725327431305922</v>
      </c>
    </row>
    <row r="684" spans="11:15">
      <c r="K684" s="1466">
        <v>42741</v>
      </c>
      <c r="L684" s="1467" t="s">
        <v>2127</v>
      </c>
      <c r="M684" s="1468">
        <v>5.0788E-2</v>
      </c>
      <c r="N684" s="1469">
        <v>1.2722923233872556</v>
      </c>
      <c r="O684" s="1469">
        <v>1.2732012173058862</v>
      </c>
    </row>
    <row r="685" spans="11:15">
      <c r="K685" s="1466">
        <v>42742</v>
      </c>
      <c r="L685" s="1467"/>
      <c r="M685" s="1468">
        <v>0</v>
      </c>
      <c r="N685" s="1469">
        <v>1.2722923233872556</v>
      </c>
      <c r="O685" s="1469">
        <v>1.2732012173058862</v>
      </c>
    </row>
    <row r="686" spans="11:15">
      <c r="K686" s="1466">
        <v>42743</v>
      </c>
      <c r="L686" s="1467"/>
      <c r="M686" s="1468">
        <v>0</v>
      </c>
      <c r="N686" s="1469">
        <v>1.2722923233872556</v>
      </c>
      <c r="O686" s="1469">
        <v>1.2732012173058862</v>
      </c>
    </row>
    <row r="687" spans="11:15">
      <c r="K687" s="1466">
        <v>42744</v>
      </c>
      <c r="L687" s="1467" t="s">
        <v>2127</v>
      </c>
      <c r="M687" s="1468">
        <v>5.0788E-2</v>
      </c>
      <c r="N687" s="1469">
        <v>1.2729384952124576</v>
      </c>
      <c r="O687" s="1469">
        <v>1.2738700426373493</v>
      </c>
    </row>
    <row r="688" spans="11:15">
      <c r="K688" s="1466">
        <v>42745</v>
      </c>
      <c r="L688" s="1467" t="s">
        <v>2127</v>
      </c>
      <c r="M688" s="1468">
        <v>5.0788E-2</v>
      </c>
      <c r="N688" s="1469">
        <v>1.2735849952154061</v>
      </c>
      <c r="O688" s="1469">
        <v>1.2745392193094471</v>
      </c>
    </row>
    <row r="689" spans="11:15">
      <c r="K689" s="1466">
        <v>42746</v>
      </c>
      <c r="L689" s="1467" t="s">
        <v>2127</v>
      </c>
      <c r="M689" s="1468">
        <v>5.0788E-2</v>
      </c>
      <c r="N689" s="1469">
        <v>1.2742318235627761</v>
      </c>
      <c r="O689" s="1469">
        <v>1.2752087475067426</v>
      </c>
    </row>
    <row r="690" spans="11:15">
      <c r="K690" s="1466">
        <v>42747</v>
      </c>
      <c r="L690" s="1467" t="s">
        <v>2127</v>
      </c>
      <c r="M690" s="1468">
        <v>4.8159E-2</v>
      </c>
      <c r="N690" s="1469">
        <v>1.2748454808666856</v>
      </c>
      <c r="O690" s="1469">
        <v>1.2758786274138953</v>
      </c>
    </row>
    <row r="691" spans="11:15">
      <c r="K691" s="1466">
        <v>42748</v>
      </c>
      <c r="L691" s="1467" t="s">
        <v>2127</v>
      </c>
      <c r="M691" s="1468">
        <v>4.8159E-2</v>
      </c>
      <c r="N691" s="1469">
        <v>1.2754594337018161</v>
      </c>
      <c r="O691" s="1469">
        <v>1.2765488592156622</v>
      </c>
    </row>
    <row r="692" spans="11:15">
      <c r="K692" s="1466">
        <v>42749</v>
      </c>
      <c r="L692" s="1467"/>
      <c r="M692" s="1468">
        <v>0</v>
      </c>
      <c r="N692" s="1469">
        <v>1.2754594337018161</v>
      </c>
      <c r="O692" s="1469">
        <v>1.2765488592156622</v>
      </c>
    </row>
    <row r="693" spans="11:15">
      <c r="K693" s="1466">
        <v>42750</v>
      </c>
      <c r="L693" s="1467"/>
      <c r="M693" s="1468">
        <v>0</v>
      </c>
      <c r="N693" s="1469">
        <v>1.2754594337018161</v>
      </c>
      <c r="O693" s="1469">
        <v>1.2765488592156622</v>
      </c>
    </row>
    <row r="694" spans="11:15">
      <c r="K694" s="1466">
        <v>42751</v>
      </c>
      <c r="L694" s="1467" t="s">
        <v>2127</v>
      </c>
      <c r="M694" s="1468">
        <v>4.8159E-2</v>
      </c>
      <c r="N694" s="1469">
        <v>1.2760736822104926</v>
      </c>
      <c r="O694" s="1469">
        <v>1.2772194430968968</v>
      </c>
    </row>
    <row r="695" spans="11:15">
      <c r="K695" s="1466">
        <v>42752</v>
      </c>
      <c r="L695" s="1467" t="s">
        <v>2127</v>
      </c>
      <c r="M695" s="1468">
        <v>4.8159E-2</v>
      </c>
      <c r="N695" s="1469">
        <v>1.2766882265351083</v>
      </c>
      <c r="O695" s="1469">
        <v>1.27789037924255</v>
      </c>
    </row>
    <row r="696" spans="11:15">
      <c r="K696" s="1466">
        <v>42753</v>
      </c>
      <c r="L696" s="1467" t="s">
        <v>2127</v>
      </c>
      <c r="M696" s="1468">
        <v>4.8159E-2</v>
      </c>
      <c r="N696" s="1469">
        <v>1.2773030668181251</v>
      </c>
      <c r="O696" s="1469">
        <v>1.2785616678376699</v>
      </c>
    </row>
    <row r="697" spans="11:15">
      <c r="K697" s="1466">
        <v>42754</v>
      </c>
      <c r="L697" s="1467" t="s">
        <v>2127</v>
      </c>
      <c r="M697" s="1468">
        <v>4.8159E-2</v>
      </c>
      <c r="N697" s="1469">
        <v>1.2779182032020739</v>
      </c>
      <c r="O697" s="1469">
        <v>1.2792333090674017</v>
      </c>
    </row>
    <row r="698" spans="11:15">
      <c r="K698" s="1466">
        <v>42755</v>
      </c>
      <c r="L698" s="1467" t="s">
        <v>2127</v>
      </c>
      <c r="M698" s="1468">
        <v>4.8159E-2</v>
      </c>
      <c r="N698" s="1469">
        <v>1.278533635829554</v>
      </c>
      <c r="O698" s="1469">
        <v>1.279905303116988</v>
      </c>
    </row>
    <row r="699" spans="11:15">
      <c r="K699" s="1466">
        <v>42756</v>
      </c>
      <c r="L699" s="1467"/>
      <c r="M699" s="1468">
        <v>0</v>
      </c>
      <c r="N699" s="1469">
        <v>1.278533635829554</v>
      </c>
      <c r="O699" s="1469">
        <v>1.279905303116988</v>
      </c>
    </row>
    <row r="700" spans="11:15">
      <c r="K700" s="1466">
        <v>42757</v>
      </c>
      <c r="L700" s="1467"/>
      <c r="M700" s="1468">
        <v>0</v>
      </c>
      <c r="N700" s="1469">
        <v>1.278533635829554</v>
      </c>
      <c r="O700" s="1469">
        <v>1.279905303116988</v>
      </c>
    </row>
    <row r="701" spans="11:15">
      <c r="K701" s="1466">
        <v>42758</v>
      </c>
      <c r="L701" s="1467" t="s">
        <v>2127</v>
      </c>
      <c r="M701" s="1468">
        <v>4.8159E-2</v>
      </c>
      <c r="N701" s="1469">
        <v>1.279149364843233</v>
      </c>
      <c r="O701" s="1469">
        <v>1.2805776501717685</v>
      </c>
    </row>
    <row r="702" spans="11:15">
      <c r="K702" s="1466">
        <v>42759</v>
      </c>
      <c r="L702" s="1467" t="s">
        <v>2127</v>
      </c>
      <c r="M702" s="1468">
        <v>4.8159E-2</v>
      </c>
      <c r="N702" s="1469">
        <v>1.2797653903858479</v>
      </c>
      <c r="O702" s="1469">
        <v>1.2812503504171802</v>
      </c>
    </row>
    <row r="703" spans="11:15">
      <c r="K703" s="1466">
        <v>42760</v>
      </c>
      <c r="L703" s="1467" t="s">
        <v>2127</v>
      </c>
      <c r="M703" s="1468">
        <v>4.8159E-2</v>
      </c>
      <c r="N703" s="1469">
        <v>1.2803817126002037</v>
      </c>
      <c r="O703" s="1469">
        <v>1.2819234040387577</v>
      </c>
    </row>
    <row r="704" spans="11:15">
      <c r="K704" s="1466">
        <v>42761</v>
      </c>
      <c r="L704" s="1467" t="s">
        <v>2127</v>
      </c>
      <c r="M704" s="1468">
        <v>4.8159E-2</v>
      </c>
      <c r="N704" s="1469">
        <v>1.2809983316291746</v>
      </c>
      <c r="O704" s="1469">
        <v>1.2825968112221333</v>
      </c>
    </row>
    <row r="705" spans="11:15">
      <c r="K705" s="1466">
        <v>42762</v>
      </c>
      <c r="L705" s="1467" t="s">
        <v>2127</v>
      </c>
      <c r="M705" s="1468">
        <v>4.8159E-2</v>
      </c>
      <c r="N705" s="1469">
        <v>1.2816152476157039</v>
      </c>
      <c r="O705" s="1469">
        <v>1.2832705721530364</v>
      </c>
    </row>
    <row r="706" spans="11:15">
      <c r="K706" s="1466">
        <v>42763</v>
      </c>
      <c r="L706" s="1467"/>
      <c r="M706" s="1468">
        <v>0</v>
      </c>
      <c r="N706" s="1469">
        <v>1.2816152476157039</v>
      </c>
      <c r="O706" s="1469">
        <v>1.2832705721530364</v>
      </c>
    </row>
    <row r="707" spans="11:15">
      <c r="K707" s="1466">
        <v>42764</v>
      </c>
      <c r="L707" s="1467"/>
      <c r="M707" s="1468">
        <v>0</v>
      </c>
      <c r="N707" s="1469">
        <v>1.2816152476157039</v>
      </c>
      <c r="O707" s="1469">
        <v>1.2832705721530364</v>
      </c>
    </row>
    <row r="708" spans="11:15">
      <c r="K708" s="1466">
        <v>42765</v>
      </c>
      <c r="L708" s="1467" t="s">
        <v>2127</v>
      </c>
      <c r="M708" s="1468">
        <v>4.8159E-2</v>
      </c>
      <c r="N708" s="1469">
        <v>1.2822324607028031</v>
      </c>
      <c r="O708" s="1469">
        <v>1.2839446870172941</v>
      </c>
    </row>
    <row r="709" spans="11:15">
      <c r="K709" s="1466">
        <v>42766</v>
      </c>
      <c r="L709" s="1467" t="s">
        <v>2127</v>
      </c>
      <c r="M709" s="1468">
        <v>4.8159E-2</v>
      </c>
      <c r="N709" s="1469">
        <v>1.2828499710335528</v>
      </c>
      <c r="O709" s="1469">
        <v>1.2846191560008311</v>
      </c>
    </row>
    <row r="710" spans="11:15">
      <c r="K710" s="1466">
        <v>42767</v>
      </c>
      <c r="L710" s="1467" t="s">
        <v>2127</v>
      </c>
      <c r="M710" s="1468">
        <v>4.8159E-2</v>
      </c>
      <c r="N710" s="1469">
        <v>1.2834677787511029</v>
      </c>
      <c r="O710" s="1469">
        <v>1.2852939792896698</v>
      </c>
    </row>
    <row r="711" spans="11:15">
      <c r="K711" s="1466">
        <v>42768</v>
      </c>
      <c r="L711" s="1467" t="s">
        <v>2127</v>
      </c>
      <c r="M711" s="1468">
        <v>4.8159E-2</v>
      </c>
      <c r="N711" s="1469">
        <v>1.2840858839986715</v>
      </c>
      <c r="O711" s="1469">
        <v>1.2859691570699305</v>
      </c>
    </row>
    <row r="712" spans="11:15">
      <c r="K712" s="1466">
        <v>42769</v>
      </c>
      <c r="L712" s="1467" t="s">
        <v>2127</v>
      </c>
      <c r="M712" s="1468">
        <v>4.8159E-2</v>
      </c>
      <c r="N712" s="1469">
        <v>1.2847042869195464</v>
      </c>
      <c r="O712" s="1469">
        <v>1.286644689527831</v>
      </c>
    </row>
    <row r="713" spans="11:15">
      <c r="K713" s="1466">
        <v>42770</v>
      </c>
      <c r="L713" s="1467"/>
      <c r="M713" s="1468">
        <v>0</v>
      </c>
      <c r="N713" s="1469">
        <v>1.2847042869195464</v>
      </c>
      <c r="O713" s="1469">
        <v>1.286644689527831</v>
      </c>
    </row>
    <row r="714" spans="11:15">
      <c r="K714" s="1466">
        <v>42771</v>
      </c>
      <c r="L714" s="1467"/>
      <c r="M714" s="1468">
        <v>0</v>
      </c>
      <c r="N714" s="1469">
        <v>1.2847042869195464</v>
      </c>
      <c r="O714" s="1469">
        <v>1.286644689527831</v>
      </c>
    </row>
    <row r="715" spans="11:15">
      <c r="K715" s="1466">
        <v>42772</v>
      </c>
      <c r="L715" s="1467" t="s">
        <v>2127</v>
      </c>
      <c r="M715" s="1468">
        <v>4.8159E-2</v>
      </c>
      <c r="N715" s="1469">
        <v>1.285322987657084</v>
      </c>
      <c r="O715" s="1469">
        <v>1.2873205768496869</v>
      </c>
    </row>
    <row r="716" spans="11:15">
      <c r="K716" s="1466">
        <v>42773</v>
      </c>
      <c r="L716" s="1467" t="s">
        <v>2127</v>
      </c>
      <c r="M716" s="1468">
        <v>4.8159E-2</v>
      </c>
      <c r="N716" s="1469">
        <v>1.2859419863547097</v>
      </c>
      <c r="O716" s="1469">
        <v>1.2879968192219118</v>
      </c>
    </row>
    <row r="717" spans="11:15">
      <c r="K717" s="1466">
        <v>42774</v>
      </c>
      <c r="L717" s="1467" t="s">
        <v>2127</v>
      </c>
      <c r="M717" s="1468">
        <v>4.8159E-2</v>
      </c>
      <c r="N717" s="1469">
        <v>1.2865612831559181</v>
      </c>
      <c r="O717" s="1469">
        <v>1.2886734168310172</v>
      </c>
    </row>
    <row r="718" spans="11:15">
      <c r="K718" s="1466">
        <v>42775</v>
      </c>
      <c r="L718" s="1467" t="s">
        <v>2127</v>
      </c>
      <c r="M718" s="1468">
        <v>4.8159E-2</v>
      </c>
      <c r="N718" s="1469">
        <v>1.2871808782042731</v>
      </c>
      <c r="O718" s="1469">
        <v>1.2893503698636126</v>
      </c>
    </row>
    <row r="719" spans="11:15">
      <c r="K719" s="1466">
        <v>42776</v>
      </c>
      <c r="L719" s="1467" t="s">
        <v>2127</v>
      </c>
      <c r="M719" s="1468">
        <v>4.8159E-2</v>
      </c>
      <c r="N719" s="1469">
        <v>1.2878007716434074</v>
      </c>
      <c r="O719" s="1469">
        <v>1.2900276785064058</v>
      </c>
    </row>
    <row r="720" spans="11:15">
      <c r="K720" s="1466">
        <v>42777</v>
      </c>
      <c r="L720" s="1467"/>
      <c r="M720" s="1468">
        <v>0</v>
      </c>
      <c r="N720" s="1469">
        <v>1.2878007716434074</v>
      </c>
      <c r="O720" s="1469">
        <v>1.2900276785064058</v>
      </c>
    </row>
    <row r="721" spans="11:15">
      <c r="K721" s="1466">
        <v>42778</v>
      </c>
      <c r="L721" s="1467"/>
      <c r="M721" s="1468">
        <v>0</v>
      </c>
      <c r="N721" s="1469">
        <v>1.2878007716434074</v>
      </c>
      <c r="O721" s="1469">
        <v>1.2900276785064058</v>
      </c>
    </row>
    <row r="722" spans="11:15">
      <c r="K722" s="1466">
        <v>42779</v>
      </c>
      <c r="L722" s="1467" t="s">
        <v>2127</v>
      </c>
      <c r="M722" s="1468">
        <v>4.8159E-2</v>
      </c>
      <c r="N722" s="1469">
        <v>1.2884209636170232</v>
      </c>
      <c r="O722" s="1469">
        <v>1.2907053429462019</v>
      </c>
    </row>
    <row r="723" spans="11:15">
      <c r="K723" s="1466">
        <v>42780</v>
      </c>
      <c r="L723" s="1467" t="s">
        <v>2127</v>
      </c>
      <c r="M723" s="1468">
        <v>4.8159E-2</v>
      </c>
      <c r="N723" s="1469">
        <v>1.2890414542688915</v>
      </c>
      <c r="O723" s="1469">
        <v>1.291383363369905</v>
      </c>
    </row>
    <row r="724" spans="11:15">
      <c r="K724" s="1466">
        <v>42781</v>
      </c>
      <c r="L724" s="1467" t="s">
        <v>2127</v>
      </c>
      <c r="M724" s="1468">
        <v>4.8159E-2</v>
      </c>
      <c r="N724" s="1469">
        <v>1.2896622437428527</v>
      </c>
      <c r="O724" s="1469">
        <v>1.2920617399645169</v>
      </c>
    </row>
    <row r="725" spans="11:15">
      <c r="K725" s="1466">
        <v>42782</v>
      </c>
      <c r="L725" s="1467" t="s">
        <v>2127</v>
      </c>
      <c r="M725" s="1468">
        <v>4.8159E-2</v>
      </c>
      <c r="N725" s="1469">
        <v>1.2902833321828167</v>
      </c>
      <c r="O725" s="1469">
        <v>1.2927404729171377</v>
      </c>
    </row>
    <row r="726" spans="11:15">
      <c r="K726" s="1466">
        <v>42783</v>
      </c>
      <c r="L726" s="1467" t="s">
        <v>2127</v>
      </c>
      <c r="M726" s="1468">
        <v>4.8159E-2</v>
      </c>
      <c r="N726" s="1469">
        <v>1.2909047197327626</v>
      </c>
      <c r="O726" s="1469">
        <v>1.2934195624149658</v>
      </c>
    </row>
    <row r="727" spans="11:15">
      <c r="K727" s="1466">
        <v>42784</v>
      </c>
      <c r="L727" s="1467"/>
      <c r="M727" s="1468">
        <v>0</v>
      </c>
      <c r="N727" s="1469">
        <v>1.2909047197327626</v>
      </c>
      <c r="O727" s="1469">
        <v>1.2934195624149658</v>
      </c>
    </row>
    <row r="728" spans="11:15">
      <c r="K728" s="1466">
        <v>42785</v>
      </c>
      <c r="L728" s="1467"/>
      <c r="M728" s="1468">
        <v>0</v>
      </c>
      <c r="N728" s="1469">
        <v>1.2909047197327626</v>
      </c>
      <c r="O728" s="1469">
        <v>1.2934195624149658</v>
      </c>
    </row>
    <row r="729" spans="11:15">
      <c r="K729" s="1466">
        <v>42786</v>
      </c>
      <c r="L729" s="1467" t="s">
        <v>2127</v>
      </c>
      <c r="M729" s="1468">
        <v>4.8159E-2</v>
      </c>
      <c r="N729" s="1469">
        <v>1.2915264065367384</v>
      </c>
      <c r="O729" s="1469">
        <v>1.2940990086452979</v>
      </c>
    </row>
    <row r="730" spans="11:15">
      <c r="K730" s="1466">
        <v>42787</v>
      </c>
      <c r="L730" s="1467" t="s">
        <v>2127</v>
      </c>
      <c r="M730" s="1468">
        <v>4.8159E-2</v>
      </c>
      <c r="N730" s="1469">
        <v>1.2921483927388624</v>
      </c>
      <c r="O730" s="1469">
        <v>1.2947788117955294</v>
      </c>
    </row>
    <row r="731" spans="11:15">
      <c r="K731" s="1466">
        <v>42788</v>
      </c>
      <c r="L731" s="1467" t="s">
        <v>2127</v>
      </c>
      <c r="M731" s="1468">
        <v>4.8159E-2</v>
      </c>
      <c r="N731" s="1469">
        <v>1.2927706784833215</v>
      </c>
      <c r="O731" s="1469">
        <v>1.2954589720531537</v>
      </c>
    </row>
    <row r="732" spans="11:15">
      <c r="K732" s="1466">
        <v>42789</v>
      </c>
      <c r="L732" s="1467" t="s">
        <v>2127</v>
      </c>
      <c r="M732" s="1468">
        <v>4.5512999999999998E-2</v>
      </c>
      <c r="N732" s="1469">
        <v>1.2933590572022196</v>
      </c>
      <c r="O732" s="1469">
        <v>1.296139489605763</v>
      </c>
    </row>
    <row r="733" spans="11:15">
      <c r="K733" s="1466">
        <v>42790</v>
      </c>
      <c r="L733" s="1467" t="s">
        <v>2127</v>
      </c>
      <c r="M733" s="1468">
        <v>4.5512999999999998E-2</v>
      </c>
      <c r="N733" s="1469">
        <v>1.2939477037099241</v>
      </c>
      <c r="O733" s="1469">
        <v>1.2968203646410479</v>
      </c>
    </row>
    <row r="734" spans="11:15">
      <c r="K734" s="1466">
        <v>42791</v>
      </c>
      <c r="L734" s="1467"/>
      <c r="M734" s="1468">
        <v>0</v>
      </c>
      <c r="N734" s="1469">
        <v>1.2939477037099241</v>
      </c>
      <c r="O734" s="1469">
        <v>1.2968203646410479</v>
      </c>
    </row>
    <row r="735" spans="11:15">
      <c r="K735" s="1466">
        <v>42792</v>
      </c>
      <c r="L735" s="1467"/>
      <c r="M735" s="1468">
        <v>0</v>
      </c>
      <c r="N735" s="1469">
        <v>1.2939477037099241</v>
      </c>
      <c r="O735" s="1469">
        <v>1.2968203646410479</v>
      </c>
    </row>
    <row r="736" spans="11:15">
      <c r="K736" s="1466">
        <v>42793</v>
      </c>
      <c r="L736" s="1467"/>
      <c r="M736" s="1468">
        <v>0</v>
      </c>
      <c r="N736" s="1469">
        <v>1.2939477037099241</v>
      </c>
      <c r="O736" s="1469">
        <v>1.2968203646410479</v>
      </c>
    </row>
    <row r="737" spans="11:15">
      <c r="K737" s="1466">
        <v>42794</v>
      </c>
      <c r="L737" s="1467"/>
      <c r="M737" s="1468">
        <v>0</v>
      </c>
      <c r="N737" s="1469">
        <v>1.2939477037099241</v>
      </c>
      <c r="O737" s="1469">
        <v>1.2968203646410479</v>
      </c>
    </row>
    <row r="738" spans="11:15">
      <c r="K738" s="1466">
        <v>42795</v>
      </c>
      <c r="L738" s="1467" t="s">
        <v>2127</v>
      </c>
      <c r="M738" s="1468">
        <v>4.5512999999999998E-2</v>
      </c>
      <c r="N738" s="1469">
        <v>1.2945366181283136</v>
      </c>
      <c r="O738" s="1469">
        <v>1.2975015973467974</v>
      </c>
    </row>
    <row r="739" spans="11:15">
      <c r="K739" s="1466">
        <v>42796</v>
      </c>
      <c r="L739" s="1467" t="s">
        <v>2127</v>
      </c>
      <c r="M739" s="1468">
        <v>4.5512999999999998E-2</v>
      </c>
      <c r="N739" s="1469">
        <v>1.2951258005793223</v>
      </c>
      <c r="O739" s="1469">
        <v>1.2981831879108996</v>
      </c>
    </row>
    <row r="740" spans="11:15">
      <c r="K740" s="1466">
        <v>42797</v>
      </c>
      <c r="L740" s="1467" t="s">
        <v>2127</v>
      </c>
      <c r="M740" s="1468">
        <v>4.5512999999999998E-2</v>
      </c>
      <c r="N740" s="1469">
        <v>1.2957152511849399</v>
      </c>
      <c r="O740" s="1469">
        <v>1.2988651365213411</v>
      </c>
    </row>
    <row r="741" spans="11:15">
      <c r="K741" s="1466">
        <v>42798</v>
      </c>
      <c r="L741" s="1467"/>
      <c r="M741" s="1468">
        <v>0</v>
      </c>
      <c r="N741" s="1469">
        <v>1.2957152511849399</v>
      </c>
      <c r="O741" s="1469">
        <v>1.2988651365213411</v>
      </c>
    </row>
    <row r="742" spans="11:15">
      <c r="K742" s="1466">
        <v>42799</v>
      </c>
      <c r="L742" s="1467"/>
      <c r="M742" s="1468">
        <v>0</v>
      </c>
      <c r="N742" s="1469">
        <v>1.2957152511849399</v>
      </c>
      <c r="O742" s="1469">
        <v>1.2988651365213411</v>
      </c>
    </row>
    <row r="743" spans="11:15">
      <c r="K743" s="1466">
        <v>42800</v>
      </c>
      <c r="L743" s="1467" t="s">
        <v>2127</v>
      </c>
      <c r="M743" s="1468">
        <v>4.5512999999999998E-2</v>
      </c>
      <c r="N743" s="1469">
        <v>1.2963049700672116</v>
      </c>
      <c r="O743" s="1469">
        <v>1.2995474433662071</v>
      </c>
    </row>
    <row r="744" spans="11:15">
      <c r="K744" s="1466">
        <v>42801</v>
      </c>
      <c r="L744" s="1467" t="s">
        <v>2127</v>
      </c>
      <c r="M744" s="1468">
        <v>4.5512999999999998E-2</v>
      </c>
      <c r="N744" s="1469">
        <v>1.2968949573482382</v>
      </c>
      <c r="O744" s="1469">
        <v>1.3002301086336818</v>
      </c>
    </row>
    <row r="745" spans="11:15">
      <c r="K745" s="1466">
        <v>42802</v>
      </c>
      <c r="L745" s="1467" t="s">
        <v>2127</v>
      </c>
      <c r="M745" s="1468">
        <v>4.5512999999999998E-2</v>
      </c>
      <c r="N745" s="1469">
        <v>1.2974852131501762</v>
      </c>
      <c r="O745" s="1469">
        <v>1.3009131325120482</v>
      </c>
    </row>
    <row r="746" spans="11:15">
      <c r="K746" s="1466">
        <v>42803</v>
      </c>
      <c r="L746" s="1467" t="s">
        <v>2127</v>
      </c>
      <c r="M746" s="1468">
        <v>4.5512999999999998E-2</v>
      </c>
      <c r="N746" s="1469">
        <v>1.2980757375952372</v>
      </c>
      <c r="O746" s="1469">
        <v>1.3015965151896882</v>
      </c>
    </row>
    <row r="747" spans="11:15">
      <c r="K747" s="1466">
        <v>42804</v>
      </c>
      <c r="L747" s="1467" t="s">
        <v>2127</v>
      </c>
      <c r="M747" s="1468">
        <v>4.5512999999999998E-2</v>
      </c>
      <c r="N747" s="1469">
        <v>1.2986665308056888</v>
      </c>
      <c r="O747" s="1469">
        <v>1.3022802568550824</v>
      </c>
    </row>
    <row r="748" spans="11:15">
      <c r="K748" s="1466">
        <v>42805</v>
      </c>
      <c r="L748" s="1467"/>
      <c r="M748" s="1468">
        <v>0</v>
      </c>
      <c r="N748" s="1469">
        <v>1.2986665308056888</v>
      </c>
      <c r="O748" s="1469">
        <v>1.3022802568550824</v>
      </c>
    </row>
    <row r="749" spans="11:15">
      <c r="K749" s="1466">
        <v>42806</v>
      </c>
      <c r="L749" s="1467"/>
      <c r="M749" s="1468">
        <v>0</v>
      </c>
      <c r="N749" s="1469">
        <v>1.2986665308056888</v>
      </c>
      <c r="O749" s="1469">
        <v>1.3022802568550824</v>
      </c>
    </row>
    <row r="750" spans="11:15">
      <c r="K750" s="1466">
        <v>42807</v>
      </c>
      <c r="L750" s="1467" t="s">
        <v>2127</v>
      </c>
      <c r="M750" s="1468">
        <v>4.5512999999999998E-2</v>
      </c>
      <c r="N750" s="1469">
        <v>1.2992575929038543</v>
      </c>
      <c r="O750" s="1469">
        <v>1.3029643576968111</v>
      </c>
    </row>
    <row r="751" spans="11:15">
      <c r="K751" s="1466">
        <v>42808</v>
      </c>
      <c r="L751" s="1467" t="s">
        <v>2127</v>
      </c>
      <c r="M751" s="1468">
        <v>4.5512999999999998E-2</v>
      </c>
      <c r="N751" s="1469">
        <v>1.2998489240121127</v>
      </c>
      <c r="O751" s="1469">
        <v>1.3036488179035528</v>
      </c>
    </row>
    <row r="752" spans="11:15">
      <c r="K752" s="1466">
        <v>42809</v>
      </c>
      <c r="L752" s="1467" t="s">
        <v>2127</v>
      </c>
      <c r="M752" s="1468">
        <v>4.5512999999999998E-2</v>
      </c>
      <c r="N752" s="1469">
        <v>1.3004405242528982</v>
      </c>
      <c r="O752" s="1469">
        <v>1.3043336376640857</v>
      </c>
    </row>
    <row r="753" spans="11:15">
      <c r="K753" s="1466">
        <v>42810</v>
      </c>
      <c r="L753" s="1467" t="s">
        <v>2127</v>
      </c>
      <c r="M753" s="1468">
        <v>4.5512999999999998E-2</v>
      </c>
      <c r="N753" s="1469">
        <v>1.3010323937487014</v>
      </c>
      <c r="O753" s="1469">
        <v>1.305018817167287</v>
      </c>
    </row>
    <row r="754" spans="11:15">
      <c r="K754" s="1466">
        <v>42811</v>
      </c>
      <c r="L754" s="1467" t="s">
        <v>2127</v>
      </c>
      <c r="M754" s="1468">
        <v>4.5512999999999998E-2</v>
      </c>
      <c r="N754" s="1469">
        <v>1.3016245326220681</v>
      </c>
      <c r="O754" s="1469">
        <v>1.3057043566021331</v>
      </c>
    </row>
    <row r="755" spans="11:15">
      <c r="K755" s="1466">
        <v>42812</v>
      </c>
      <c r="L755" s="1467"/>
      <c r="M755" s="1468">
        <v>0</v>
      </c>
      <c r="N755" s="1469">
        <v>1.3016245326220681</v>
      </c>
      <c r="O755" s="1469">
        <v>1.3057043566021331</v>
      </c>
    </row>
    <row r="756" spans="11:15">
      <c r="K756" s="1466">
        <v>42813</v>
      </c>
      <c r="L756" s="1467"/>
      <c r="M756" s="1468">
        <v>0</v>
      </c>
      <c r="N756" s="1469">
        <v>1.3016245326220681</v>
      </c>
      <c r="O756" s="1469">
        <v>1.3057043566021331</v>
      </c>
    </row>
    <row r="757" spans="11:15">
      <c r="K757" s="1466">
        <v>42814</v>
      </c>
      <c r="L757" s="1467" t="s">
        <v>2127</v>
      </c>
      <c r="M757" s="1468">
        <v>4.5512999999999998E-2</v>
      </c>
      <c r="N757" s="1469">
        <v>1.3022169409956004</v>
      </c>
      <c r="O757" s="1469">
        <v>1.3063902561576999</v>
      </c>
    </row>
    <row r="758" spans="11:15">
      <c r="K758" s="1466">
        <v>42815</v>
      </c>
      <c r="L758" s="1467" t="s">
        <v>2127</v>
      </c>
      <c r="M758" s="1468">
        <v>4.5512999999999998E-2</v>
      </c>
      <c r="N758" s="1469">
        <v>1.3028096189919556</v>
      </c>
      <c r="O758" s="1469">
        <v>1.3070765160231621</v>
      </c>
    </row>
    <row r="759" spans="11:15">
      <c r="K759" s="1466">
        <v>42816</v>
      </c>
      <c r="L759" s="1467" t="s">
        <v>2127</v>
      </c>
      <c r="M759" s="1468">
        <v>4.5512999999999998E-2</v>
      </c>
      <c r="N759" s="1469">
        <v>1.3034025667338474</v>
      </c>
      <c r="O759" s="1469">
        <v>1.3077631363877942</v>
      </c>
    </row>
    <row r="760" spans="11:15">
      <c r="K760" s="1466">
        <v>42817</v>
      </c>
      <c r="L760" s="1467" t="s">
        <v>2127</v>
      </c>
      <c r="M760" s="1468">
        <v>4.5512999999999998E-2</v>
      </c>
      <c r="N760" s="1469">
        <v>1.3039957843440448</v>
      </c>
      <c r="O760" s="1469">
        <v>1.30845011744097</v>
      </c>
    </row>
    <row r="761" spans="11:15">
      <c r="K761" s="1466">
        <v>42818</v>
      </c>
      <c r="L761" s="1467" t="s">
        <v>2127</v>
      </c>
      <c r="M761" s="1468">
        <v>4.5512999999999998E-2</v>
      </c>
      <c r="N761" s="1469">
        <v>1.3045892719453733</v>
      </c>
      <c r="O761" s="1469">
        <v>1.309137459372163</v>
      </c>
    </row>
    <row r="762" spans="11:15">
      <c r="K762" s="1466">
        <v>42819</v>
      </c>
      <c r="L762" s="1467"/>
      <c r="M762" s="1468">
        <v>0</v>
      </c>
      <c r="N762" s="1469">
        <v>1.3045892719453733</v>
      </c>
      <c r="O762" s="1469">
        <v>1.309137459372163</v>
      </c>
    </row>
    <row r="763" spans="11:15">
      <c r="K763" s="1466">
        <v>42820</v>
      </c>
      <c r="L763" s="1467"/>
      <c r="M763" s="1468">
        <v>0</v>
      </c>
      <c r="N763" s="1469">
        <v>1.3045892719453733</v>
      </c>
      <c r="O763" s="1469">
        <v>1.309137459372163</v>
      </c>
    </row>
    <row r="764" spans="11:15">
      <c r="K764" s="1466">
        <v>42821</v>
      </c>
      <c r="L764" s="1467" t="s">
        <v>2127</v>
      </c>
      <c r="M764" s="1468">
        <v>4.5512999999999998E-2</v>
      </c>
      <c r="N764" s="1469">
        <v>1.3051830296607139</v>
      </c>
      <c r="O764" s="1469">
        <v>1.3098251623709458</v>
      </c>
    </row>
    <row r="765" spans="11:15">
      <c r="K765" s="1466">
        <v>42822</v>
      </c>
      <c r="L765" s="1467" t="s">
        <v>2127</v>
      </c>
      <c r="M765" s="1468">
        <v>4.5512999999999998E-2</v>
      </c>
      <c r="N765" s="1469">
        <v>1.3057770576130032</v>
      </c>
      <c r="O765" s="1469">
        <v>1.310513226626991</v>
      </c>
    </row>
    <row r="766" spans="11:15">
      <c r="K766" s="1466">
        <v>42823</v>
      </c>
      <c r="L766" s="1467" t="s">
        <v>2127</v>
      </c>
      <c r="M766" s="1468">
        <v>4.5512999999999998E-2</v>
      </c>
      <c r="N766" s="1469">
        <v>1.3063713559252346</v>
      </c>
      <c r="O766" s="1469">
        <v>1.3112016523300705</v>
      </c>
    </row>
    <row r="767" spans="11:15">
      <c r="K767" s="1466">
        <v>42824</v>
      </c>
      <c r="L767" s="1467" t="s">
        <v>2127</v>
      </c>
      <c r="M767" s="1468">
        <v>4.5512999999999998E-2</v>
      </c>
      <c r="N767" s="1469">
        <v>1.3069659247204568</v>
      </c>
      <c r="O767" s="1469">
        <v>1.3118904396700559</v>
      </c>
    </row>
    <row r="768" spans="11:15">
      <c r="K768" s="1466">
        <v>42825</v>
      </c>
      <c r="L768" s="1467" t="s">
        <v>2127</v>
      </c>
      <c r="M768" s="1468">
        <v>4.5512999999999998E-2</v>
      </c>
      <c r="N768" s="1469">
        <v>1.3075607641217748</v>
      </c>
      <c r="O768" s="1469">
        <v>1.3125795888369189</v>
      </c>
    </row>
    <row r="769" spans="11:15">
      <c r="K769" s="1466">
        <v>42826</v>
      </c>
      <c r="L769" s="1467"/>
      <c r="M769" s="1468">
        <v>0</v>
      </c>
      <c r="N769" s="1469">
        <v>1.3075607641217748</v>
      </c>
      <c r="O769" s="1469">
        <v>1.3125795888369189</v>
      </c>
    </row>
    <row r="770" spans="11:15">
      <c r="K770" s="1466">
        <v>42827</v>
      </c>
      <c r="L770" s="1467"/>
      <c r="M770" s="1468">
        <v>0</v>
      </c>
      <c r="N770" s="1469">
        <v>1.3075607641217748</v>
      </c>
      <c r="O770" s="1469">
        <v>1.3125795888369189</v>
      </c>
    </row>
    <row r="771" spans="11:15">
      <c r="K771" s="1466">
        <v>42828</v>
      </c>
      <c r="L771" s="1467" t="s">
        <v>2127</v>
      </c>
      <c r="M771" s="1468">
        <v>4.5512999999999998E-2</v>
      </c>
      <c r="N771" s="1469">
        <v>1.3081558742523496</v>
      </c>
      <c r="O771" s="1469">
        <v>1.3132691000207308</v>
      </c>
    </row>
    <row r="772" spans="11:15">
      <c r="K772" s="1466">
        <v>42829</v>
      </c>
      <c r="L772" s="1467" t="s">
        <v>2127</v>
      </c>
      <c r="M772" s="1468">
        <v>4.5512999999999998E-2</v>
      </c>
      <c r="N772" s="1469">
        <v>1.3087512552353979</v>
      </c>
      <c r="O772" s="1469">
        <v>1.3139589734116628</v>
      </c>
    </row>
    <row r="773" spans="11:15">
      <c r="K773" s="1466">
        <v>42830</v>
      </c>
      <c r="L773" s="1467" t="s">
        <v>2127</v>
      </c>
      <c r="M773" s="1468">
        <v>4.5512999999999998E-2</v>
      </c>
      <c r="N773" s="1469">
        <v>1.3093469071941932</v>
      </c>
      <c r="O773" s="1469">
        <v>1.3146492091999857</v>
      </c>
    </row>
    <row r="774" spans="11:15">
      <c r="K774" s="1466">
        <v>42831</v>
      </c>
      <c r="L774" s="1467" t="s">
        <v>2127</v>
      </c>
      <c r="M774" s="1468">
        <v>4.5512999999999998E-2</v>
      </c>
      <c r="N774" s="1469">
        <v>1.3099428302520644</v>
      </c>
      <c r="O774" s="1469">
        <v>1.3153398075760705</v>
      </c>
    </row>
    <row r="775" spans="11:15">
      <c r="K775" s="1466">
        <v>42832</v>
      </c>
      <c r="L775" s="1467" t="s">
        <v>2127</v>
      </c>
      <c r="M775" s="1468">
        <v>4.5512999999999998E-2</v>
      </c>
      <c r="N775" s="1469">
        <v>1.3105390245323969</v>
      </c>
      <c r="O775" s="1469">
        <v>1.3160307687303883</v>
      </c>
    </row>
    <row r="776" spans="11:15">
      <c r="K776" s="1466">
        <v>42833</v>
      </c>
      <c r="L776" s="1467"/>
      <c r="M776" s="1468">
        <v>0</v>
      </c>
      <c r="N776" s="1469">
        <v>1.3105390245323969</v>
      </c>
      <c r="O776" s="1469">
        <v>1.3160307687303883</v>
      </c>
    </row>
    <row r="777" spans="11:15">
      <c r="K777" s="1466">
        <v>42834</v>
      </c>
      <c r="L777" s="1467"/>
      <c r="M777" s="1468">
        <v>0</v>
      </c>
      <c r="N777" s="1469">
        <v>1.3105390245323969</v>
      </c>
      <c r="O777" s="1469">
        <v>1.3160307687303883</v>
      </c>
    </row>
    <row r="778" spans="11:15">
      <c r="K778" s="1466">
        <v>42835</v>
      </c>
      <c r="L778" s="1467" t="s">
        <v>2127</v>
      </c>
      <c r="M778" s="1468">
        <v>4.5512999999999998E-2</v>
      </c>
      <c r="N778" s="1469">
        <v>1.3111354901586323</v>
      </c>
      <c r="O778" s="1469">
        <v>1.3167220928535099</v>
      </c>
    </row>
    <row r="779" spans="11:15">
      <c r="K779" s="1466">
        <v>42836</v>
      </c>
      <c r="L779" s="1467" t="s">
        <v>2127</v>
      </c>
      <c r="M779" s="1468">
        <v>4.5512999999999998E-2</v>
      </c>
      <c r="N779" s="1469">
        <v>1.3117322272542682</v>
      </c>
      <c r="O779" s="1469">
        <v>1.3174137801361068</v>
      </c>
    </row>
    <row r="780" spans="11:15">
      <c r="K780" s="1466">
        <v>42837</v>
      </c>
      <c r="L780" s="1467" t="s">
        <v>2127</v>
      </c>
      <c r="M780" s="1468">
        <v>4.5512999999999998E-2</v>
      </c>
      <c r="N780" s="1469">
        <v>1.3123292359428584</v>
      </c>
      <c r="O780" s="1469">
        <v>1.3181058307689502</v>
      </c>
    </row>
    <row r="781" spans="11:15">
      <c r="K781" s="1466">
        <v>42838</v>
      </c>
      <c r="L781" s="1467" t="s">
        <v>2127</v>
      </c>
      <c r="M781" s="1468">
        <v>4.1957000000000001E-2</v>
      </c>
      <c r="N781" s="1469">
        <v>1.3128798499203831</v>
      </c>
      <c r="O781" s="1469">
        <v>1.3187982449429114</v>
      </c>
    </row>
    <row r="782" spans="11:15">
      <c r="K782" s="1466">
        <v>42839</v>
      </c>
      <c r="L782" s="1467"/>
      <c r="M782" s="1468">
        <v>0</v>
      </c>
      <c r="N782" s="1469">
        <v>1.3128798499203831</v>
      </c>
      <c r="O782" s="1469">
        <v>1.3187982449429114</v>
      </c>
    </row>
    <row r="783" spans="11:15">
      <c r="K783" s="1466">
        <v>42840</v>
      </c>
      <c r="L783" s="1467"/>
      <c r="M783" s="1468">
        <v>0</v>
      </c>
      <c r="N783" s="1469">
        <v>1.3128798499203831</v>
      </c>
      <c r="O783" s="1469">
        <v>1.3187982449429114</v>
      </c>
    </row>
    <row r="784" spans="11:15">
      <c r="K784" s="1466">
        <v>42841</v>
      </c>
      <c r="L784" s="1467"/>
      <c r="M784" s="1468">
        <v>0</v>
      </c>
      <c r="N784" s="1469">
        <v>1.3128798499203831</v>
      </c>
      <c r="O784" s="1469">
        <v>1.3187982449429114</v>
      </c>
    </row>
    <row r="785" spans="11:15">
      <c r="K785" s="1466">
        <v>42842</v>
      </c>
      <c r="L785" s="1467" t="s">
        <v>2127</v>
      </c>
      <c r="M785" s="1468">
        <v>4.1957000000000001E-2</v>
      </c>
      <c r="N785" s="1469">
        <v>1.3134306949190142</v>
      </c>
      <c r="O785" s="1469">
        <v>1.3194910228489625</v>
      </c>
    </row>
    <row r="786" spans="11:15">
      <c r="K786" s="1466">
        <v>42843</v>
      </c>
      <c r="L786" s="1467" t="s">
        <v>2127</v>
      </c>
      <c r="M786" s="1468">
        <v>4.1957000000000001E-2</v>
      </c>
      <c r="N786" s="1469">
        <v>1.3139817710356814</v>
      </c>
      <c r="O786" s="1469">
        <v>1.3201841646781753</v>
      </c>
    </row>
    <row r="787" spans="11:15">
      <c r="K787" s="1466">
        <v>42844</v>
      </c>
      <c r="L787" s="1467" t="s">
        <v>2127</v>
      </c>
      <c r="M787" s="1468">
        <v>4.1957000000000001E-2</v>
      </c>
      <c r="N787" s="1469">
        <v>1.3145330783673548</v>
      </c>
      <c r="O787" s="1469">
        <v>1.3208776706217225</v>
      </c>
    </row>
    <row r="788" spans="11:15">
      <c r="K788" s="1466">
        <v>42845</v>
      </c>
      <c r="L788" s="1467" t="s">
        <v>2127</v>
      </c>
      <c r="M788" s="1468">
        <v>4.1957000000000001E-2</v>
      </c>
      <c r="N788" s="1469">
        <v>1.3150846170110455</v>
      </c>
      <c r="O788" s="1469">
        <v>1.3215715408708768</v>
      </c>
    </row>
    <row r="789" spans="11:15">
      <c r="K789" s="1466">
        <v>42846</v>
      </c>
      <c r="L789" s="1467"/>
      <c r="M789" s="1468">
        <v>0</v>
      </c>
      <c r="N789" s="1469">
        <v>1.3150846170110455</v>
      </c>
      <c r="O789" s="1469">
        <v>1.3215715408708768</v>
      </c>
    </row>
    <row r="790" spans="11:15">
      <c r="K790" s="1466">
        <v>42847</v>
      </c>
      <c r="L790" s="1467"/>
      <c r="M790" s="1468">
        <v>0</v>
      </c>
      <c r="N790" s="1469">
        <v>1.3150846170110455</v>
      </c>
      <c r="O790" s="1469">
        <v>1.3215715408708768</v>
      </c>
    </row>
    <row r="791" spans="11:15">
      <c r="K791" s="1466">
        <v>42848</v>
      </c>
      <c r="L791" s="1467"/>
      <c r="M791" s="1468">
        <v>0</v>
      </c>
      <c r="N791" s="1469">
        <v>1.3150846170110455</v>
      </c>
      <c r="O791" s="1469">
        <v>1.3215715408708768</v>
      </c>
    </row>
    <row r="792" spans="11:15">
      <c r="K792" s="1466">
        <v>42849</v>
      </c>
      <c r="L792" s="1467" t="s">
        <v>2127</v>
      </c>
      <c r="M792" s="1468">
        <v>4.1957000000000001E-2</v>
      </c>
      <c r="N792" s="1469">
        <v>1.3156363870638048</v>
      </c>
      <c r="O792" s="1469">
        <v>1.3222657756170118</v>
      </c>
    </row>
    <row r="793" spans="11:15">
      <c r="K793" s="1466">
        <v>42850</v>
      </c>
      <c r="L793" s="1467" t="s">
        <v>2127</v>
      </c>
      <c r="M793" s="1468">
        <v>4.1957000000000001E-2</v>
      </c>
      <c r="N793" s="1469">
        <v>1.3161883886227252</v>
      </c>
      <c r="O793" s="1469">
        <v>1.322960375051601</v>
      </c>
    </row>
    <row r="794" spans="11:15">
      <c r="K794" s="1466">
        <v>42851</v>
      </c>
      <c r="L794" s="1467" t="s">
        <v>2127</v>
      </c>
      <c r="M794" s="1468">
        <v>4.1957000000000001E-2</v>
      </c>
      <c r="N794" s="1469">
        <v>1.3167406217849398</v>
      </c>
      <c r="O794" s="1469">
        <v>1.3236553393662194</v>
      </c>
    </row>
    <row r="795" spans="11:15">
      <c r="K795" s="1466">
        <v>42852</v>
      </c>
      <c r="L795" s="1467" t="s">
        <v>2127</v>
      </c>
      <c r="M795" s="1468">
        <v>4.1957000000000001E-2</v>
      </c>
      <c r="N795" s="1469">
        <v>1.3172930866476222</v>
      </c>
      <c r="O795" s="1469">
        <v>1.3243506687525419</v>
      </c>
    </row>
    <row r="796" spans="11:15">
      <c r="K796" s="1466">
        <v>42853</v>
      </c>
      <c r="L796" s="1467" t="s">
        <v>2127</v>
      </c>
      <c r="M796" s="1468">
        <v>4.1957000000000001E-2</v>
      </c>
      <c r="N796" s="1469">
        <v>1.3178457833079871</v>
      </c>
      <c r="O796" s="1469">
        <v>1.3250463634023444</v>
      </c>
    </row>
    <row r="797" spans="11:15">
      <c r="K797" s="1466">
        <v>42854</v>
      </c>
      <c r="L797" s="1467"/>
      <c r="M797" s="1468">
        <v>0</v>
      </c>
      <c r="N797" s="1469">
        <v>1.3178457833079871</v>
      </c>
      <c r="O797" s="1469">
        <v>1.3250463634023444</v>
      </c>
    </row>
    <row r="798" spans="11:15">
      <c r="K798" s="1466">
        <v>42855</v>
      </c>
      <c r="L798" s="1467"/>
      <c r="M798" s="1468">
        <v>0</v>
      </c>
      <c r="N798" s="1469">
        <v>1.3178457833079871</v>
      </c>
      <c r="O798" s="1469">
        <v>1.3250463634023444</v>
      </c>
    </row>
    <row r="799" spans="11:15">
      <c r="K799" s="1466">
        <v>42856</v>
      </c>
      <c r="L799" s="1467"/>
      <c r="M799" s="1468">
        <v>0</v>
      </c>
      <c r="N799" s="1469">
        <v>1.3178457833079871</v>
      </c>
      <c r="O799" s="1469">
        <v>1.3250463634023444</v>
      </c>
    </row>
    <row r="800" spans="11:15">
      <c r="K800" s="1466">
        <v>42857</v>
      </c>
      <c r="L800" s="1467" t="s">
        <v>2127</v>
      </c>
      <c r="M800" s="1468">
        <v>4.1957000000000001E-2</v>
      </c>
      <c r="N800" s="1469">
        <v>1.3183987118632896</v>
      </c>
      <c r="O800" s="1469">
        <v>1.3257424235075033</v>
      </c>
    </row>
    <row r="801" spans="11:15">
      <c r="K801" s="1466">
        <v>42858</v>
      </c>
      <c r="L801" s="1467" t="s">
        <v>2127</v>
      </c>
      <c r="M801" s="1468">
        <v>4.1957000000000001E-2</v>
      </c>
      <c r="N801" s="1469">
        <v>1.3189518724108262</v>
      </c>
      <c r="O801" s="1469">
        <v>1.3264388492599959</v>
      </c>
    </row>
    <row r="802" spans="11:15">
      <c r="K802" s="1466">
        <v>42859</v>
      </c>
      <c r="L802" s="1467" t="s">
        <v>2127</v>
      </c>
      <c r="M802" s="1468">
        <v>4.1957000000000001E-2</v>
      </c>
      <c r="N802" s="1469">
        <v>1.3195052650479338</v>
      </c>
      <c r="O802" s="1469">
        <v>1.3271356408519006</v>
      </c>
    </row>
    <row r="803" spans="11:15">
      <c r="K803" s="1466">
        <v>42860</v>
      </c>
      <c r="L803" s="1467" t="s">
        <v>2127</v>
      </c>
      <c r="M803" s="1468">
        <v>4.1957000000000001E-2</v>
      </c>
      <c r="N803" s="1469">
        <v>1.32005888987199</v>
      </c>
      <c r="O803" s="1469">
        <v>1.3278327984753966</v>
      </c>
    </row>
    <row r="804" spans="11:15">
      <c r="K804" s="1466">
        <v>42861</v>
      </c>
      <c r="L804" s="1467"/>
      <c r="M804" s="1468">
        <v>0</v>
      </c>
      <c r="N804" s="1469">
        <v>1.32005888987199</v>
      </c>
      <c r="O804" s="1469">
        <v>1.3278327984753966</v>
      </c>
    </row>
    <row r="805" spans="11:15">
      <c r="K805" s="1466">
        <v>42862</v>
      </c>
      <c r="L805" s="1467"/>
      <c r="M805" s="1468">
        <v>0</v>
      </c>
      <c r="N805" s="1469">
        <v>1.32005888987199</v>
      </c>
      <c r="O805" s="1469">
        <v>1.3278327984753966</v>
      </c>
    </row>
    <row r="806" spans="11:15">
      <c r="K806" s="1466">
        <v>42863</v>
      </c>
      <c r="L806" s="1467" t="s">
        <v>2127</v>
      </c>
      <c r="M806" s="1468">
        <v>4.1957000000000001E-2</v>
      </c>
      <c r="N806" s="1469">
        <v>1.3206127469804136</v>
      </c>
      <c r="O806" s="1469">
        <v>1.3285303223227638</v>
      </c>
    </row>
    <row r="807" spans="11:15">
      <c r="K807" s="1466">
        <v>42864</v>
      </c>
      <c r="L807" s="1467" t="s">
        <v>2127</v>
      </c>
      <c r="M807" s="1468">
        <v>4.1957000000000001E-2</v>
      </c>
      <c r="N807" s="1469">
        <v>1.3211668364706644</v>
      </c>
      <c r="O807" s="1469">
        <v>1.3292282125863832</v>
      </c>
    </row>
    <row r="808" spans="11:15">
      <c r="K808" s="1466">
        <v>42865</v>
      </c>
      <c r="L808" s="1467" t="s">
        <v>2127</v>
      </c>
      <c r="M808" s="1468">
        <v>4.1957000000000001E-2</v>
      </c>
      <c r="N808" s="1469">
        <v>1.3217211584402424</v>
      </c>
      <c r="O808" s="1469">
        <v>1.3299264694587369</v>
      </c>
    </row>
    <row r="809" spans="11:15">
      <c r="K809" s="1466">
        <v>42866</v>
      </c>
      <c r="L809" s="1467" t="s">
        <v>2127</v>
      </c>
      <c r="M809" s="1468">
        <v>4.1957000000000001E-2</v>
      </c>
      <c r="N809" s="1469">
        <v>1.3222757129866893</v>
      </c>
      <c r="O809" s="1469">
        <v>1.3306250931324084</v>
      </c>
    </row>
    <row r="810" spans="11:15">
      <c r="K810" s="1466">
        <v>42867</v>
      </c>
      <c r="L810" s="1467" t="s">
        <v>2127</v>
      </c>
      <c r="M810" s="1468">
        <v>4.1957000000000001E-2</v>
      </c>
      <c r="N810" s="1469">
        <v>1.3228305002075873</v>
      </c>
      <c r="O810" s="1469">
        <v>1.3313240838000817</v>
      </c>
    </row>
    <row r="811" spans="11:15">
      <c r="K811" s="1466">
        <v>42868</v>
      </c>
      <c r="L811" s="1467"/>
      <c r="M811" s="1468">
        <v>0</v>
      </c>
      <c r="N811" s="1469">
        <v>1.3228305002075873</v>
      </c>
      <c r="O811" s="1469">
        <v>1.3313240838000817</v>
      </c>
    </row>
    <row r="812" spans="11:15">
      <c r="K812" s="1466">
        <v>42869</v>
      </c>
      <c r="L812" s="1467"/>
      <c r="M812" s="1468">
        <v>0</v>
      </c>
      <c r="N812" s="1469">
        <v>1.3228305002075873</v>
      </c>
      <c r="O812" s="1469">
        <v>1.3313240838000817</v>
      </c>
    </row>
    <row r="813" spans="11:15">
      <c r="K813" s="1466">
        <v>42870</v>
      </c>
      <c r="L813" s="1467" t="s">
        <v>2127</v>
      </c>
      <c r="M813" s="1468">
        <v>4.1957000000000001E-2</v>
      </c>
      <c r="N813" s="1469">
        <v>1.3233855202005596</v>
      </c>
      <c r="O813" s="1469">
        <v>1.3320234416545427</v>
      </c>
    </row>
    <row r="814" spans="11:15">
      <c r="K814" s="1466">
        <v>42871</v>
      </c>
      <c r="L814" s="1467" t="s">
        <v>2127</v>
      </c>
      <c r="M814" s="1468">
        <v>4.1957000000000001E-2</v>
      </c>
      <c r="N814" s="1469">
        <v>1.3239407730632702</v>
      </c>
      <c r="O814" s="1469">
        <v>1.3327231668886783</v>
      </c>
    </row>
    <row r="815" spans="11:15">
      <c r="K815" s="1466">
        <v>42872</v>
      </c>
      <c r="L815" s="1467" t="s">
        <v>2127</v>
      </c>
      <c r="M815" s="1468">
        <v>4.1957000000000001E-2</v>
      </c>
      <c r="N815" s="1469">
        <v>1.3244962588934244</v>
      </c>
      <c r="O815" s="1469">
        <v>1.3334232596954767</v>
      </c>
    </row>
    <row r="816" spans="11:15">
      <c r="K816" s="1466">
        <v>42873</v>
      </c>
      <c r="L816" s="1467" t="s">
        <v>2127</v>
      </c>
      <c r="M816" s="1468">
        <v>4.1957000000000001E-2</v>
      </c>
      <c r="N816" s="1469">
        <v>1.3250519777887684</v>
      </c>
      <c r="O816" s="1469">
        <v>1.3341237202680274</v>
      </c>
    </row>
    <row r="817" spans="11:15">
      <c r="K817" s="1466">
        <v>42874</v>
      </c>
      <c r="L817" s="1467" t="s">
        <v>2127</v>
      </c>
      <c r="M817" s="1468">
        <v>4.1957000000000001E-2</v>
      </c>
      <c r="N817" s="1469">
        <v>1.3256079298470893</v>
      </c>
      <c r="O817" s="1469">
        <v>1.3348245487995214</v>
      </c>
    </row>
    <row r="818" spans="11:15">
      <c r="K818" s="1466">
        <v>42875</v>
      </c>
      <c r="L818" s="1467"/>
      <c r="M818" s="1468">
        <v>0</v>
      </c>
      <c r="N818" s="1469">
        <v>1.3256079298470893</v>
      </c>
      <c r="O818" s="1469">
        <v>1.3348245487995214</v>
      </c>
    </row>
    <row r="819" spans="11:15">
      <c r="K819" s="1466">
        <v>42876</v>
      </c>
      <c r="L819" s="1467"/>
      <c r="M819" s="1468">
        <v>0</v>
      </c>
      <c r="N819" s="1469">
        <v>1.3256079298470893</v>
      </c>
      <c r="O819" s="1469">
        <v>1.3348245487995214</v>
      </c>
    </row>
    <row r="820" spans="11:15">
      <c r="K820" s="1466">
        <v>42877</v>
      </c>
      <c r="L820" s="1467" t="s">
        <v>2127</v>
      </c>
      <c r="M820" s="1468">
        <v>4.1957000000000001E-2</v>
      </c>
      <c r="N820" s="1469">
        <v>1.3261641151662154</v>
      </c>
      <c r="O820" s="1469">
        <v>1.3355257454832512</v>
      </c>
    </row>
    <row r="821" spans="11:15">
      <c r="K821" s="1466">
        <v>42878</v>
      </c>
      <c r="L821" s="1467" t="s">
        <v>2127</v>
      </c>
      <c r="M821" s="1468">
        <v>4.1957000000000001E-2</v>
      </c>
      <c r="N821" s="1469">
        <v>1.3267205338440158</v>
      </c>
      <c r="O821" s="1469">
        <v>1.336227310512611</v>
      </c>
    </row>
    <row r="822" spans="11:15">
      <c r="K822" s="1466">
        <v>42879</v>
      </c>
      <c r="L822" s="1467" t="s">
        <v>2127</v>
      </c>
      <c r="M822" s="1468">
        <v>4.1957000000000001E-2</v>
      </c>
      <c r="N822" s="1469">
        <v>1.3272771859784007</v>
      </c>
      <c r="O822" s="1469">
        <v>1.3369292440810965</v>
      </c>
    </row>
    <row r="823" spans="11:15">
      <c r="K823" s="1466">
        <v>42880</v>
      </c>
      <c r="L823" s="1467" t="s">
        <v>2127</v>
      </c>
      <c r="M823" s="1468">
        <v>4.1957000000000001E-2</v>
      </c>
      <c r="N823" s="1469">
        <v>1.3278340716673218</v>
      </c>
      <c r="O823" s="1469">
        <v>1.3376315463823047</v>
      </c>
    </row>
    <row r="824" spans="11:15">
      <c r="K824" s="1466">
        <v>42881</v>
      </c>
      <c r="L824" s="1467" t="s">
        <v>2127</v>
      </c>
      <c r="M824" s="1468">
        <v>4.1957000000000001E-2</v>
      </c>
      <c r="N824" s="1469">
        <v>1.3283911910087713</v>
      </c>
      <c r="O824" s="1469">
        <v>1.3383342176099349</v>
      </c>
    </row>
    <row r="825" spans="11:15">
      <c r="K825" s="1466">
        <v>42882</v>
      </c>
      <c r="L825" s="1467"/>
      <c r="M825" s="1468">
        <v>0</v>
      </c>
      <c r="N825" s="1469">
        <v>1.3283911910087713</v>
      </c>
      <c r="O825" s="1469">
        <v>1.3383342176099349</v>
      </c>
    </row>
    <row r="826" spans="11:15">
      <c r="K826" s="1466">
        <v>42883</v>
      </c>
      <c r="L826" s="1467"/>
      <c r="M826" s="1468">
        <v>0</v>
      </c>
      <c r="N826" s="1469">
        <v>1.3283911910087713</v>
      </c>
      <c r="O826" s="1469">
        <v>1.3383342176099349</v>
      </c>
    </row>
    <row r="827" spans="11:15">
      <c r="K827" s="1466">
        <v>42884</v>
      </c>
      <c r="L827" s="1467" t="s">
        <v>2127</v>
      </c>
      <c r="M827" s="1468">
        <v>4.1957000000000001E-2</v>
      </c>
      <c r="N827" s="1469">
        <v>1.3289485441007829</v>
      </c>
      <c r="O827" s="1469">
        <v>1.3390372579577876</v>
      </c>
    </row>
    <row r="828" spans="11:15">
      <c r="K828" s="1466">
        <v>42885</v>
      </c>
      <c r="L828" s="1467" t="s">
        <v>2127</v>
      </c>
      <c r="M828" s="1468">
        <v>4.1957000000000001E-2</v>
      </c>
      <c r="N828" s="1469">
        <v>1.3295061310414313</v>
      </c>
      <c r="O828" s="1469">
        <v>1.3397406676197654</v>
      </c>
    </row>
    <row r="829" spans="11:15">
      <c r="K829" s="1466">
        <v>42886</v>
      </c>
      <c r="L829" s="1467" t="s">
        <v>2127</v>
      </c>
      <c r="M829" s="1468">
        <v>4.1957000000000001E-2</v>
      </c>
      <c r="N829" s="1469">
        <v>1.3300639519288324</v>
      </c>
      <c r="O829" s="1469">
        <v>1.3404444467898728</v>
      </c>
    </row>
    <row r="830" spans="11:15">
      <c r="K830" s="1466">
        <v>42887</v>
      </c>
      <c r="L830" s="1467" t="s">
        <v>2127</v>
      </c>
      <c r="M830" s="1468">
        <v>3.8370000000000001E-2</v>
      </c>
      <c r="N830" s="1469">
        <v>1.3305742974671875</v>
      </c>
      <c r="O830" s="1469">
        <v>1.341148595662216</v>
      </c>
    </row>
    <row r="831" spans="11:15">
      <c r="K831" s="1466">
        <v>42888</v>
      </c>
      <c r="L831" s="1467" t="s">
        <v>2127</v>
      </c>
      <c r="M831" s="1468">
        <v>3.8370000000000001E-2</v>
      </c>
      <c r="N831" s="1469">
        <v>1.3310848388251255</v>
      </c>
      <c r="O831" s="1469">
        <v>1.3418531144310033</v>
      </c>
    </row>
    <row r="832" spans="11:15">
      <c r="K832" s="1466">
        <v>42889</v>
      </c>
      <c r="L832" s="1467"/>
      <c r="M832" s="1468">
        <v>0</v>
      </c>
      <c r="N832" s="1469">
        <v>1.3310848388251255</v>
      </c>
      <c r="O832" s="1469">
        <v>1.3418531144310033</v>
      </c>
    </row>
    <row r="833" spans="11:15">
      <c r="K833" s="1466">
        <v>42890</v>
      </c>
      <c r="L833" s="1467"/>
      <c r="M833" s="1468">
        <v>0</v>
      </c>
      <c r="N833" s="1469">
        <v>1.3310848388251255</v>
      </c>
      <c r="O833" s="1469">
        <v>1.3418531144310033</v>
      </c>
    </row>
    <row r="834" spans="11:15">
      <c r="K834" s="1466">
        <v>42891</v>
      </c>
      <c r="L834" s="1467" t="s">
        <v>2127</v>
      </c>
      <c r="M834" s="1468">
        <v>3.8370000000000001E-2</v>
      </c>
      <c r="N834" s="1469">
        <v>1.3315955760777827</v>
      </c>
      <c r="O834" s="1469">
        <v>1.3425580032905451</v>
      </c>
    </row>
    <row r="835" spans="11:15">
      <c r="K835" s="1466">
        <v>42892</v>
      </c>
      <c r="L835" s="1467" t="s">
        <v>2127</v>
      </c>
      <c r="M835" s="1468">
        <v>3.8370000000000001E-2</v>
      </c>
      <c r="N835" s="1469">
        <v>1.3321065093003237</v>
      </c>
      <c r="O835" s="1469">
        <v>1.3432632624352536</v>
      </c>
    </row>
    <row r="836" spans="11:15">
      <c r="K836" s="1466">
        <v>42893</v>
      </c>
      <c r="L836" s="1467" t="s">
        <v>2127</v>
      </c>
      <c r="M836" s="1468">
        <v>3.8370000000000001E-2</v>
      </c>
      <c r="N836" s="1469">
        <v>1.3326176385679422</v>
      </c>
      <c r="O836" s="1469">
        <v>1.3439688920596435</v>
      </c>
    </row>
    <row r="837" spans="11:15">
      <c r="K837" s="1466">
        <v>42894</v>
      </c>
      <c r="L837" s="1467" t="s">
        <v>2127</v>
      </c>
      <c r="M837" s="1468">
        <v>3.8370000000000001E-2</v>
      </c>
      <c r="N837" s="1469">
        <v>1.3331289639558608</v>
      </c>
      <c r="O837" s="1469">
        <v>1.3446748923583314</v>
      </c>
    </row>
    <row r="838" spans="11:15">
      <c r="K838" s="1466">
        <v>42895</v>
      </c>
      <c r="L838" s="1467" t="s">
        <v>2127</v>
      </c>
      <c r="M838" s="1468">
        <v>3.8370000000000001E-2</v>
      </c>
      <c r="N838" s="1469">
        <v>1.3336404855393307</v>
      </c>
      <c r="O838" s="1469">
        <v>1.345381263526036</v>
      </c>
    </row>
    <row r="839" spans="11:15">
      <c r="K839" s="1466">
        <v>42896</v>
      </c>
      <c r="L839" s="1467"/>
      <c r="M839" s="1468">
        <v>0</v>
      </c>
      <c r="N839" s="1469">
        <v>1.3336404855393307</v>
      </c>
      <c r="O839" s="1469">
        <v>1.345381263526036</v>
      </c>
    </row>
    <row r="840" spans="11:15">
      <c r="K840" s="1466">
        <v>42897</v>
      </c>
      <c r="L840" s="1467"/>
      <c r="M840" s="1468">
        <v>0</v>
      </c>
      <c r="N840" s="1469">
        <v>1.3336404855393307</v>
      </c>
      <c r="O840" s="1469">
        <v>1.345381263526036</v>
      </c>
    </row>
    <row r="841" spans="11:15">
      <c r="K841" s="1466">
        <v>42898</v>
      </c>
      <c r="L841" s="1467" t="s">
        <v>2127</v>
      </c>
      <c r="M841" s="1468">
        <v>3.8370000000000001E-2</v>
      </c>
      <c r="N841" s="1469">
        <v>1.3341522033936322</v>
      </c>
      <c r="O841" s="1469">
        <v>1.3460880057575788</v>
      </c>
    </row>
    <row r="842" spans="11:15">
      <c r="K842" s="1466">
        <v>42899</v>
      </c>
      <c r="L842" s="1467" t="s">
        <v>2127</v>
      </c>
      <c r="M842" s="1468">
        <v>3.8370000000000001E-2</v>
      </c>
      <c r="N842" s="1469">
        <v>1.3346641175940743</v>
      </c>
      <c r="O842" s="1469">
        <v>1.3467951192478833</v>
      </c>
    </row>
    <row r="843" spans="11:15">
      <c r="K843" s="1466">
        <v>42900</v>
      </c>
      <c r="L843" s="1467" t="s">
        <v>2127</v>
      </c>
      <c r="M843" s="1468">
        <v>3.8370000000000001E-2</v>
      </c>
      <c r="N843" s="1469">
        <v>1.3351762282159951</v>
      </c>
      <c r="O843" s="1469">
        <v>1.3475026041919753</v>
      </c>
    </row>
    <row r="844" spans="11:15">
      <c r="K844" s="1466">
        <v>42901</v>
      </c>
      <c r="L844" s="1467"/>
      <c r="M844" s="1468">
        <v>0</v>
      </c>
      <c r="N844" s="1469">
        <v>1.3351762282159951</v>
      </c>
      <c r="O844" s="1469">
        <v>1.3475026041919753</v>
      </c>
    </row>
    <row r="845" spans="11:15">
      <c r="K845" s="1466">
        <v>42902</v>
      </c>
      <c r="L845" s="1467" t="s">
        <v>2127</v>
      </c>
      <c r="M845" s="1468">
        <v>3.8370000000000001E-2</v>
      </c>
      <c r="N845" s="1469">
        <v>1.3356885353347616</v>
      </c>
      <c r="O845" s="1469">
        <v>1.3482104607849834</v>
      </c>
    </row>
    <row r="846" spans="11:15">
      <c r="K846" s="1466">
        <v>42903</v>
      </c>
      <c r="L846" s="1467"/>
      <c r="M846" s="1468">
        <v>0</v>
      </c>
      <c r="N846" s="1469">
        <v>1.3356885353347616</v>
      </c>
      <c r="O846" s="1469">
        <v>1.3482104607849834</v>
      </c>
    </row>
    <row r="847" spans="11:15">
      <c r="K847" s="1466">
        <v>42904</v>
      </c>
      <c r="L847" s="1467"/>
      <c r="M847" s="1468">
        <v>0</v>
      </c>
      <c r="N847" s="1469">
        <v>1.3356885353347616</v>
      </c>
      <c r="O847" s="1469">
        <v>1.3482104607849834</v>
      </c>
    </row>
    <row r="848" spans="11:15">
      <c r="K848" s="1466">
        <v>42905</v>
      </c>
      <c r="L848" s="1467" t="s">
        <v>2127</v>
      </c>
      <c r="M848" s="1468">
        <v>3.8370000000000001E-2</v>
      </c>
      <c r="N848" s="1469">
        <v>1.3362010390257695</v>
      </c>
      <c r="O848" s="1469">
        <v>1.3489186892221383</v>
      </c>
    </row>
    <row r="849" spans="11:15">
      <c r="K849" s="1466">
        <v>42906</v>
      </c>
      <c r="L849" s="1467" t="s">
        <v>2127</v>
      </c>
      <c r="M849" s="1468">
        <v>3.8370000000000001E-2</v>
      </c>
      <c r="N849" s="1469">
        <v>1.3367137393644437</v>
      </c>
      <c r="O849" s="1469">
        <v>1.3496272896987735</v>
      </c>
    </row>
    <row r="850" spans="11:15">
      <c r="K850" s="1466">
        <v>42907</v>
      </c>
      <c r="L850" s="1467" t="s">
        <v>2127</v>
      </c>
      <c r="M850" s="1468">
        <v>3.8370000000000001E-2</v>
      </c>
      <c r="N850" s="1469">
        <v>1.3372266364262377</v>
      </c>
      <c r="O850" s="1469">
        <v>1.3503362624103252</v>
      </c>
    </row>
    <row r="851" spans="11:15">
      <c r="K851" s="1466">
        <v>42908</v>
      </c>
      <c r="L851" s="1467" t="s">
        <v>2127</v>
      </c>
      <c r="M851" s="1468">
        <v>3.8370000000000001E-2</v>
      </c>
      <c r="N851" s="1469">
        <v>1.3377397302866345</v>
      </c>
      <c r="O851" s="1469">
        <v>1.3510456075523321</v>
      </c>
    </row>
    <row r="852" spans="11:15">
      <c r="K852" s="1466">
        <v>42909</v>
      </c>
      <c r="L852" s="1467" t="s">
        <v>2127</v>
      </c>
      <c r="M852" s="1468">
        <v>3.8370000000000001E-2</v>
      </c>
      <c r="N852" s="1469">
        <v>1.3382530210211454</v>
      </c>
      <c r="O852" s="1469">
        <v>1.3517553253204353</v>
      </c>
    </row>
    <row r="853" spans="11:15">
      <c r="K853" s="1466">
        <v>42910</v>
      </c>
      <c r="L853" s="1467"/>
      <c r="M853" s="1468">
        <v>0</v>
      </c>
      <c r="N853" s="1469">
        <v>1.3382530210211454</v>
      </c>
      <c r="O853" s="1469">
        <v>1.3517553253204353</v>
      </c>
    </row>
    <row r="854" spans="11:15">
      <c r="K854" s="1466">
        <v>42911</v>
      </c>
      <c r="L854" s="1467"/>
      <c r="M854" s="1468">
        <v>0</v>
      </c>
      <c r="N854" s="1469">
        <v>1.3382530210211454</v>
      </c>
      <c r="O854" s="1469">
        <v>1.3517553253204353</v>
      </c>
    </row>
    <row r="855" spans="11:15">
      <c r="K855" s="1466">
        <v>42912</v>
      </c>
      <c r="L855" s="1467" t="s">
        <v>2127</v>
      </c>
      <c r="M855" s="1468">
        <v>3.8370000000000001E-2</v>
      </c>
      <c r="N855" s="1469">
        <v>1.3387665087053111</v>
      </c>
      <c r="O855" s="1469">
        <v>1.3524654159103793</v>
      </c>
    </row>
    <row r="856" spans="11:15">
      <c r="K856" s="1466">
        <v>42913</v>
      </c>
      <c r="L856" s="1467" t="s">
        <v>2127</v>
      </c>
      <c r="M856" s="1468">
        <v>3.8370000000000001E-2</v>
      </c>
      <c r="N856" s="1469">
        <v>1.3392801934147014</v>
      </c>
      <c r="O856" s="1469">
        <v>1.3531758795180111</v>
      </c>
    </row>
    <row r="857" spans="11:15">
      <c r="K857" s="1466">
        <v>42914</v>
      </c>
      <c r="L857" s="1467" t="s">
        <v>2127</v>
      </c>
      <c r="M857" s="1468">
        <v>3.8370000000000001E-2</v>
      </c>
      <c r="N857" s="1469">
        <v>1.3397940752249147</v>
      </c>
      <c r="O857" s="1469">
        <v>1.3538867163392807</v>
      </c>
    </row>
    <row r="858" spans="11:15">
      <c r="K858" s="1466">
        <v>42915</v>
      </c>
      <c r="L858" s="1467" t="s">
        <v>2127</v>
      </c>
      <c r="M858" s="1468">
        <v>3.8370000000000001E-2</v>
      </c>
      <c r="N858" s="1469">
        <v>1.3403081542115785</v>
      </c>
      <c r="O858" s="1469">
        <v>1.3545979265702408</v>
      </c>
    </row>
    <row r="859" spans="11:15">
      <c r="K859" s="1466">
        <v>42916</v>
      </c>
      <c r="L859" s="1467" t="s">
        <v>2127</v>
      </c>
      <c r="M859" s="1468">
        <v>3.8370000000000001E-2</v>
      </c>
      <c r="N859" s="1469">
        <v>1.3408224304503493</v>
      </c>
      <c r="O859" s="1469">
        <v>1.3553095104070474</v>
      </c>
    </row>
    <row r="860" spans="11:15">
      <c r="K860" s="1466">
        <v>42917</v>
      </c>
      <c r="L860" s="1467"/>
      <c r="M860" s="1468">
        <v>0</v>
      </c>
      <c r="N860" s="1469">
        <v>1.3408224304503493</v>
      </c>
      <c r="O860" s="1469">
        <v>1.3553095104070474</v>
      </c>
    </row>
    <row r="861" spans="11:15">
      <c r="K861" s="1466">
        <v>42918</v>
      </c>
      <c r="L861" s="1467"/>
      <c r="M861" s="1468">
        <v>0</v>
      </c>
      <c r="N861" s="1469">
        <v>1.3408224304503493</v>
      </c>
      <c r="O861" s="1469">
        <v>1.3553095104070474</v>
      </c>
    </row>
    <row r="862" spans="11:15">
      <c r="K862" s="1466">
        <v>42919</v>
      </c>
      <c r="L862" s="1467" t="s">
        <v>2127</v>
      </c>
      <c r="M862" s="1468">
        <v>3.8370000000000001E-2</v>
      </c>
      <c r="N862" s="1469">
        <v>1.3413369040169132</v>
      </c>
      <c r="O862" s="1469">
        <v>1.3560214680459592</v>
      </c>
    </row>
    <row r="863" spans="11:15">
      <c r="K863" s="1466">
        <v>42920</v>
      </c>
      <c r="L863" s="1467" t="s">
        <v>2127</v>
      </c>
      <c r="M863" s="1468">
        <v>3.8370000000000001E-2</v>
      </c>
      <c r="N863" s="1469">
        <v>1.3418515749869844</v>
      </c>
      <c r="O863" s="1469">
        <v>1.3567337996833384</v>
      </c>
    </row>
    <row r="864" spans="11:15">
      <c r="K864" s="1466">
        <v>42921</v>
      </c>
      <c r="L864" s="1467" t="s">
        <v>2127</v>
      </c>
      <c r="M864" s="1468">
        <v>3.8370000000000001E-2</v>
      </c>
      <c r="N864" s="1469">
        <v>1.342366443436307</v>
      </c>
      <c r="O864" s="1469">
        <v>1.3574465055156502</v>
      </c>
    </row>
    <row r="865" spans="11:15">
      <c r="K865" s="1466">
        <v>42922</v>
      </c>
      <c r="L865" s="1467" t="s">
        <v>2127</v>
      </c>
      <c r="M865" s="1468">
        <v>3.8370000000000001E-2</v>
      </c>
      <c r="N865" s="1469">
        <v>1.3428815094406534</v>
      </c>
      <c r="O865" s="1469">
        <v>1.3581595857394626</v>
      </c>
    </row>
    <row r="866" spans="11:15">
      <c r="K866" s="1466">
        <v>42923</v>
      </c>
      <c r="L866" s="1467" t="s">
        <v>2127</v>
      </c>
      <c r="M866" s="1468">
        <v>3.8370000000000001E-2</v>
      </c>
      <c r="N866" s="1469">
        <v>1.3433967730758258</v>
      </c>
      <c r="O866" s="1469">
        <v>1.3588730405514473</v>
      </c>
    </row>
    <row r="867" spans="11:15">
      <c r="K867" s="1466">
        <v>42924</v>
      </c>
      <c r="L867" s="1467"/>
      <c r="M867" s="1468">
        <v>0</v>
      </c>
      <c r="N867" s="1469">
        <v>1.3433967730758258</v>
      </c>
      <c r="O867" s="1469">
        <v>1.3588730405514473</v>
      </c>
    </row>
    <row r="868" spans="11:15">
      <c r="K868" s="1466">
        <v>42925</v>
      </c>
      <c r="L868" s="1467"/>
      <c r="M868" s="1468">
        <v>0</v>
      </c>
      <c r="N868" s="1469">
        <v>1.3433967730758258</v>
      </c>
      <c r="O868" s="1469">
        <v>1.3588730405514473</v>
      </c>
    </row>
    <row r="869" spans="11:15">
      <c r="K869" s="1466">
        <v>42926</v>
      </c>
      <c r="L869" s="1467" t="s">
        <v>2127</v>
      </c>
      <c r="M869" s="1468">
        <v>3.8370000000000001E-2</v>
      </c>
      <c r="N869" s="1469">
        <v>1.3439122344176551</v>
      </c>
      <c r="O869" s="1469">
        <v>1.3595868701483793</v>
      </c>
    </row>
    <row r="870" spans="11:15">
      <c r="K870" s="1466">
        <v>42927</v>
      </c>
      <c r="L870" s="1467" t="s">
        <v>2127</v>
      </c>
      <c r="M870" s="1468">
        <v>3.8370000000000001E-2</v>
      </c>
      <c r="N870" s="1469">
        <v>1.3444278935420011</v>
      </c>
      <c r="O870" s="1469">
        <v>1.3603010747271369</v>
      </c>
    </row>
    <row r="871" spans="11:15">
      <c r="K871" s="1466">
        <v>42928</v>
      </c>
      <c r="L871" s="1467" t="s">
        <v>2127</v>
      </c>
      <c r="M871" s="1468">
        <v>3.8370000000000001E-2</v>
      </c>
      <c r="N871" s="1469">
        <v>1.3449437505247532</v>
      </c>
      <c r="O871" s="1469">
        <v>1.3610156544847019</v>
      </c>
    </row>
    <row r="872" spans="11:15">
      <c r="K872" s="1466">
        <v>42929</v>
      </c>
      <c r="L872" s="1467" t="s">
        <v>2127</v>
      </c>
      <c r="M872" s="1468">
        <v>3.8370000000000001E-2</v>
      </c>
      <c r="N872" s="1469">
        <v>1.3454598054418296</v>
      </c>
      <c r="O872" s="1469">
        <v>1.3617306096181592</v>
      </c>
    </row>
    <row r="873" spans="11:15">
      <c r="K873" s="1466">
        <v>42930</v>
      </c>
      <c r="L873" s="1467" t="s">
        <v>2127</v>
      </c>
      <c r="M873" s="1468">
        <v>3.8370000000000001E-2</v>
      </c>
      <c r="N873" s="1469">
        <v>1.3459760583691776</v>
      </c>
      <c r="O873" s="1469">
        <v>1.3624459403246978</v>
      </c>
    </row>
    <row r="874" spans="11:15">
      <c r="K874" s="1466">
        <v>42931</v>
      </c>
      <c r="L874" s="1467"/>
      <c r="M874" s="1468">
        <v>0</v>
      </c>
      <c r="N874" s="1469">
        <v>1.3459760583691776</v>
      </c>
      <c r="O874" s="1469">
        <v>1.3624459403246978</v>
      </c>
    </row>
    <row r="875" spans="11:15">
      <c r="K875" s="1466">
        <v>42932</v>
      </c>
      <c r="L875" s="1467"/>
      <c r="M875" s="1468">
        <v>0</v>
      </c>
      <c r="N875" s="1469">
        <v>1.3459760583691776</v>
      </c>
      <c r="O875" s="1469">
        <v>1.3624459403246978</v>
      </c>
    </row>
    <row r="876" spans="11:15">
      <c r="K876" s="1466">
        <v>42933</v>
      </c>
      <c r="L876" s="1467" t="s">
        <v>2127</v>
      </c>
      <c r="M876" s="1468">
        <v>3.8370000000000001E-2</v>
      </c>
      <c r="N876" s="1469">
        <v>1.3464925093827738</v>
      </c>
      <c r="O876" s="1469">
        <v>1.3631616468016097</v>
      </c>
    </row>
    <row r="877" spans="11:15">
      <c r="K877" s="1466">
        <v>42934</v>
      </c>
      <c r="L877" s="1467" t="s">
        <v>2127</v>
      </c>
      <c r="M877" s="1468">
        <v>3.8370000000000001E-2</v>
      </c>
      <c r="N877" s="1469">
        <v>1.3470091585586239</v>
      </c>
      <c r="O877" s="1469">
        <v>1.3638777292462911</v>
      </c>
    </row>
    <row r="878" spans="11:15">
      <c r="K878" s="1466">
        <v>42935</v>
      </c>
      <c r="L878" s="1467" t="s">
        <v>2127</v>
      </c>
      <c r="M878" s="1468">
        <v>3.8370000000000001E-2</v>
      </c>
      <c r="N878" s="1469">
        <v>1.3475260059727627</v>
      </c>
      <c r="O878" s="1469">
        <v>1.3645941878562415</v>
      </c>
    </row>
    <row r="879" spans="11:15">
      <c r="K879" s="1466">
        <v>42936</v>
      </c>
      <c r="L879" s="1467" t="s">
        <v>2127</v>
      </c>
      <c r="M879" s="1468">
        <v>3.8370000000000001E-2</v>
      </c>
      <c r="N879" s="1469">
        <v>1.3480430517012545</v>
      </c>
      <c r="O879" s="1469">
        <v>1.3653110228290644</v>
      </c>
    </row>
    <row r="880" spans="11:15">
      <c r="K880" s="1466">
        <v>42937</v>
      </c>
      <c r="L880" s="1467" t="s">
        <v>2127</v>
      </c>
      <c r="M880" s="1468">
        <v>3.8370000000000001E-2</v>
      </c>
      <c r="N880" s="1469">
        <v>1.3485602958201923</v>
      </c>
      <c r="O880" s="1469">
        <v>1.3660282343624668</v>
      </c>
    </row>
    <row r="881" spans="11:15">
      <c r="K881" s="1466">
        <v>42938</v>
      </c>
      <c r="L881" s="1467"/>
      <c r="M881" s="1468">
        <v>0</v>
      </c>
      <c r="N881" s="1469">
        <v>1.3485602958201923</v>
      </c>
      <c r="O881" s="1469">
        <v>1.3660282343624668</v>
      </c>
    </row>
    <row r="882" spans="11:15">
      <c r="K882" s="1466">
        <v>42939</v>
      </c>
      <c r="L882" s="1467"/>
      <c r="M882" s="1468">
        <v>0</v>
      </c>
      <c r="N882" s="1469">
        <v>1.3485602958201923</v>
      </c>
      <c r="O882" s="1469">
        <v>1.3660282343624668</v>
      </c>
    </row>
    <row r="883" spans="11:15">
      <c r="K883" s="1466">
        <v>42940</v>
      </c>
      <c r="L883" s="1467" t="s">
        <v>2127</v>
      </c>
      <c r="M883" s="1468">
        <v>3.8370000000000001E-2</v>
      </c>
      <c r="N883" s="1469">
        <v>1.3490777384056984</v>
      </c>
      <c r="O883" s="1469">
        <v>1.3667458226542597</v>
      </c>
    </row>
    <row r="884" spans="11:15">
      <c r="K884" s="1466">
        <v>42941</v>
      </c>
      <c r="L884" s="1467" t="s">
        <v>2127</v>
      </c>
      <c r="M884" s="1468">
        <v>3.8370000000000001E-2</v>
      </c>
      <c r="N884" s="1469">
        <v>1.3495953795339246</v>
      </c>
      <c r="O884" s="1469">
        <v>1.3674637879023581</v>
      </c>
    </row>
    <row r="885" spans="11:15">
      <c r="K885" s="1466">
        <v>42942</v>
      </c>
      <c r="L885" s="1467" t="s">
        <v>2127</v>
      </c>
      <c r="M885" s="1468">
        <v>3.8370000000000001E-2</v>
      </c>
      <c r="N885" s="1469">
        <v>1.3501132192810517</v>
      </c>
      <c r="O885" s="1469">
        <v>1.3681821303047812</v>
      </c>
    </row>
    <row r="886" spans="11:15">
      <c r="K886" s="1466">
        <v>42943</v>
      </c>
      <c r="L886" s="1467" t="s">
        <v>2127</v>
      </c>
      <c r="M886" s="1468">
        <v>3.4749000000000002E-2</v>
      </c>
      <c r="N886" s="1469">
        <v>1.3505823701236197</v>
      </c>
      <c r="O886" s="1469">
        <v>1.3689008500596516</v>
      </c>
    </row>
    <row r="887" spans="11:15">
      <c r="K887" s="1466">
        <v>42944</v>
      </c>
      <c r="L887" s="1467" t="s">
        <v>2127</v>
      </c>
      <c r="M887" s="1468">
        <v>3.4749000000000002E-2</v>
      </c>
      <c r="N887" s="1469">
        <v>1.351051683991414</v>
      </c>
      <c r="O887" s="1469">
        <v>1.3696199473651964</v>
      </c>
    </row>
    <row r="888" spans="11:15">
      <c r="K888" s="1466">
        <v>42945</v>
      </c>
      <c r="L888" s="1467"/>
      <c r="M888" s="1468">
        <v>0</v>
      </c>
      <c r="N888" s="1469">
        <v>1.351051683991414</v>
      </c>
      <c r="O888" s="1469">
        <v>1.3696199473651964</v>
      </c>
    </row>
    <row r="889" spans="11:15">
      <c r="K889" s="1466">
        <v>42946</v>
      </c>
      <c r="L889" s="1467"/>
      <c r="M889" s="1468">
        <v>0</v>
      </c>
      <c r="N889" s="1469">
        <v>1.351051683991414</v>
      </c>
      <c r="O889" s="1469">
        <v>1.3696199473651964</v>
      </c>
    </row>
    <row r="890" spans="11:15">
      <c r="K890" s="1466">
        <v>42947</v>
      </c>
      <c r="L890" s="1467" t="s">
        <v>2127</v>
      </c>
      <c r="M890" s="1468">
        <v>3.4749000000000002E-2</v>
      </c>
      <c r="N890" s="1469">
        <v>1.3515211609410842</v>
      </c>
      <c r="O890" s="1469">
        <v>1.3703394224197469</v>
      </c>
    </row>
    <row r="891" spans="11:15">
      <c r="K891" s="1466">
        <v>42948</v>
      </c>
      <c r="L891" s="1467" t="s">
        <v>2127</v>
      </c>
      <c r="M891" s="1468">
        <v>3.4749000000000002E-2</v>
      </c>
      <c r="N891" s="1469">
        <v>1.3519908010292996</v>
      </c>
      <c r="O891" s="1469">
        <v>1.3710592754217383</v>
      </c>
    </row>
    <row r="892" spans="11:15">
      <c r="K892" s="1466">
        <v>42949</v>
      </c>
      <c r="L892" s="1467" t="s">
        <v>2127</v>
      </c>
      <c r="M892" s="1468">
        <v>3.4749000000000002E-2</v>
      </c>
      <c r="N892" s="1469">
        <v>1.3524606043127492</v>
      </c>
      <c r="O892" s="1469">
        <v>1.37177950656971</v>
      </c>
    </row>
    <row r="893" spans="11:15">
      <c r="K893" s="1466">
        <v>42950</v>
      </c>
      <c r="L893" s="1467" t="s">
        <v>2127</v>
      </c>
      <c r="M893" s="1468">
        <v>3.4749000000000002E-2</v>
      </c>
      <c r="N893" s="1469">
        <v>1.3529305708481418</v>
      </c>
      <c r="O893" s="1469">
        <v>1.3725001160623063</v>
      </c>
    </row>
    <row r="894" spans="11:15">
      <c r="K894" s="1466">
        <v>42951</v>
      </c>
      <c r="L894" s="1467" t="s">
        <v>2127</v>
      </c>
      <c r="M894" s="1468">
        <v>3.4749000000000002E-2</v>
      </c>
      <c r="N894" s="1469">
        <v>1.353400700692206</v>
      </c>
      <c r="O894" s="1469">
        <v>1.3732211040982749</v>
      </c>
    </row>
    <row r="895" spans="11:15">
      <c r="K895" s="1466">
        <v>42952</v>
      </c>
      <c r="L895" s="1467"/>
      <c r="M895" s="1468">
        <v>0</v>
      </c>
      <c r="N895" s="1469">
        <v>1.353400700692206</v>
      </c>
      <c r="O895" s="1469">
        <v>1.3732211040982749</v>
      </c>
    </row>
    <row r="896" spans="11:15">
      <c r="K896" s="1466">
        <v>42953</v>
      </c>
      <c r="L896" s="1467"/>
      <c r="M896" s="1468">
        <v>0</v>
      </c>
      <c r="N896" s="1469">
        <v>1.353400700692206</v>
      </c>
      <c r="O896" s="1469">
        <v>1.3732211040982749</v>
      </c>
    </row>
    <row r="897" spans="11:15">
      <c r="K897" s="1466">
        <v>42954</v>
      </c>
      <c r="L897" s="1467" t="s">
        <v>2127</v>
      </c>
      <c r="M897" s="1468">
        <v>3.4749000000000002E-2</v>
      </c>
      <c r="N897" s="1469">
        <v>1.3538709939016895</v>
      </c>
      <c r="O897" s="1469">
        <v>1.3739424708764687</v>
      </c>
    </row>
    <row r="898" spans="11:15">
      <c r="K898" s="1466">
        <v>42955</v>
      </c>
      <c r="L898" s="1467" t="s">
        <v>2127</v>
      </c>
      <c r="M898" s="1468">
        <v>3.4749000000000002E-2</v>
      </c>
      <c r="N898" s="1469">
        <v>1.3543414505333604</v>
      </c>
      <c r="O898" s="1469">
        <v>1.3746642165958449</v>
      </c>
    </row>
    <row r="899" spans="11:15">
      <c r="K899" s="1466">
        <v>42956</v>
      </c>
      <c r="L899" s="1467" t="s">
        <v>2127</v>
      </c>
      <c r="M899" s="1468">
        <v>3.4749000000000002E-2</v>
      </c>
      <c r="N899" s="1469">
        <v>1.3548120706440063</v>
      </c>
      <c r="O899" s="1469">
        <v>1.3753863414554648</v>
      </c>
    </row>
    <row r="900" spans="11:15">
      <c r="K900" s="1466">
        <v>42957</v>
      </c>
      <c r="L900" s="1467" t="s">
        <v>2127</v>
      </c>
      <c r="M900" s="1468">
        <v>3.4749000000000002E-2</v>
      </c>
      <c r="N900" s="1469">
        <v>1.3552828542904345</v>
      </c>
      <c r="O900" s="1469">
        <v>1.3761088456544948</v>
      </c>
    </row>
    <row r="901" spans="11:15">
      <c r="K901" s="1466">
        <v>42958</v>
      </c>
      <c r="L901" s="1467" t="s">
        <v>2127</v>
      </c>
      <c r="M901" s="1468">
        <v>3.4749000000000002E-2</v>
      </c>
      <c r="N901" s="1469">
        <v>1.3557538015294719</v>
      </c>
      <c r="O901" s="1469">
        <v>1.3768317293922054</v>
      </c>
    </row>
    <row r="902" spans="11:15">
      <c r="K902" s="1466">
        <v>42959</v>
      </c>
      <c r="L902" s="1467"/>
      <c r="M902" s="1468">
        <v>0</v>
      </c>
      <c r="N902" s="1469">
        <v>1.3557538015294719</v>
      </c>
      <c r="O902" s="1469">
        <v>1.3768317293922054</v>
      </c>
    </row>
    <row r="903" spans="11:15">
      <c r="K903" s="1466">
        <v>42960</v>
      </c>
      <c r="L903" s="1467"/>
      <c r="M903" s="1468">
        <v>0</v>
      </c>
      <c r="N903" s="1469">
        <v>1.3557538015294719</v>
      </c>
      <c r="O903" s="1469">
        <v>1.3768317293922054</v>
      </c>
    </row>
    <row r="904" spans="11:15">
      <c r="K904" s="1466">
        <v>42961</v>
      </c>
      <c r="L904" s="1467" t="s">
        <v>2127</v>
      </c>
      <c r="M904" s="1468">
        <v>3.4749000000000002E-2</v>
      </c>
      <c r="N904" s="1469">
        <v>1.3562249124179653</v>
      </c>
      <c r="O904" s="1469">
        <v>1.3775549928679724</v>
      </c>
    </row>
    <row r="905" spans="11:15">
      <c r="K905" s="1466">
        <v>42962</v>
      </c>
      <c r="L905" s="1467" t="s">
        <v>2127</v>
      </c>
      <c r="M905" s="1468">
        <v>3.4749000000000002E-2</v>
      </c>
      <c r="N905" s="1469">
        <v>1.3566961870127814</v>
      </c>
      <c r="O905" s="1469">
        <v>1.378278636281276</v>
      </c>
    </row>
    <row r="906" spans="11:15">
      <c r="K906" s="1466">
        <v>42963</v>
      </c>
      <c r="L906" s="1467" t="s">
        <v>2127</v>
      </c>
      <c r="M906" s="1468">
        <v>3.4749000000000002E-2</v>
      </c>
      <c r="N906" s="1469">
        <v>1.3571676253708065</v>
      </c>
      <c r="O906" s="1469">
        <v>1.3790026598317009</v>
      </c>
    </row>
    <row r="907" spans="11:15">
      <c r="K907" s="1466">
        <v>42964</v>
      </c>
      <c r="L907" s="1467" t="s">
        <v>2127</v>
      </c>
      <c r="M907" s="1468">
        <v>3.4749000000000002E-2</v>
      </c>
      <c r="N907" s="1469">
        <v>1.3576392275489466</v>
      </c>
      <c r="O907" s="1469">
        <v>1.3797270637189372</v>
      </c>
    </row>
    <row r="908" spans="11:15">
      <c r="K908" s="1466">
        <v>42965</v>
      </c>
      <c r="L908" s="1467" t="s">
        <v>2127</v>
      </c>
      <c r="M908" s="1468">
        <v>3.4749000000000002E-2</v>
      </c>
      <c r="N908" s="1469">
        <v>1.3581109936041276</v>
      </c>
      <c r="O908" s="1469">
        <v>1.3804518481427794</v>
      </c>
    </row>
    <row r="909" spans="11:15">
      <c r="K909" s="1466">
        <v>42966</v>
      </c>
      <c r="L909" s="1467"/>
      <c r="M909" s="1468">
        <v>0</v>
      </c>
      <c r="N909" s="1469">
        <v>1.3581109936041276</v>
      </c>
      <c r="O909" s="1469">
        <v>1.3804518481427794</v>
      </c>
    </row>
    <row r="910" spans="11:15">
      <c r="K910" s="1466">
        <v>42967</v>
      </c>
      <c r="L910" s="1467"/>
      <c r="M910" s="1468">
        <v>0</v>
      </c>
      <c r="N910" s="1469">
        <v>1.3581109936041276</v>
      </c>
      <c r="O910" s="1469">
        <v>1.3804518481427794</v>
      </c>
    </row>
    <row r="911" spans="11:15">
      <c r="K911" s="1466">
        <v>42968</v>
      </c>
      <c r="L911" s="1467" t="s">
        <v>2127</v>
      </c>
      <c r="M911" s="1468">
        <v>3.4749000000000002E-2</v>
      </c>
      <c r="N911" s="1469">
        <v>1.3585829235932951</v>
      </c>
      <c r="O911" s="1469">
        <v>1.3811770133031274</v>
      </c>
    </row>
    <row r="912" spans="11:15">
      <c r="K912" s="1466">
        <v>42969</v>
      </c>
      <c r="L912" s="1467" t="s">
        <v>2127</v>
      </c>
      <c r="M912" s="1468">
        <v>3.4749000000000002E-2</v>
      </c>
      <c r="N912" s="1469">
        <v>1.3590550175734146</v>
      </c>
      <c r="O912" s="1469">
        <v>1.3819025593999856</v>
      </c>
    </row>
    <row r="913" spans="11:15">
      <c r="K913" s="1466">
        <v>42970</v>
      </c>
      <c r="L913" s="1467" t="s">
        <v>2127</v>
      </c>
      <c r="M913" s="1468">
        <v>3.4749000000000002E-2</v>
      </c>
      <c r="N913" s="1469">
        <v>1.3595272756014711</v>
      </c>
      <c r="O913" s="1469">
        <v>1.3826284866334639</v>
      </c>
    </row>
    <row r="914" spans="11:15">
      <c r="K914" s="1466">
        <v>42971</v>
      </c>
      <c r="L914" s="1467" t="s">
        <v>2127</v>
      </c>
      <c r="M914" s="1468">
        <v>3.4749000000000002E-2</v>
      </c>
      <c r="N914" s="1469">
        <v>1.3599996977344699</v>
      </c>
      <c r="O914" s="1469">
        <v>1.3833547952037775</v>
      </c>
    </row>
    <row r="915" spans="11:15">
      <c r="K915" s="1466">
        <v>42972</v>
      </c>
      <c r="L915" s="1467" t="s">
        <v>2127</v>
      </c>
      <c r="M915" s="1468">
        <v>3.4749000000000002E-2</v>
      </c>
      <c r="N915" s="1469">
        <v>1.3604722840294357</v>
      </c>
      <c r="O915" s="1469">
        <v>1.384081485311246</v>
      </c>
    </row>
    <row r="916" spans="11:15">
      <c r="K916" s="1466">
        <v>42973</v>
      </c>
      <c r="L916" s="1467"/>
      <c r="M916" s="1468">
        <v>0</v>
      </c>
      <c r="N916" s="1469">
        <v>1.3604722840294357</v>
      </c>
      <c r="O916" s="1469">
        <v>1.384081485311246</v>
      </c>
    </row>
    <row r="917" spans="11:15">
      <c r="K917" s="1466">
        <v>42974</v>
      </c>
      <c r="L917" s="1467"/>
      <c r="M917" s="1468">
        <v>0</v>
      </c>
      <c r="N917" s="1469">
        <v>1.3604722840294357</v>
      </c>
      <c r="O917" s="1469">
        <v>1.384081485311246</v>
      </c>
    </row>
    <row r="918" spans="11:15">
      <c r="K918" s="1466">
        <v>42975</v>
      </c>
      <c r="L918" s="1467" t="s">
        <v>2127</v>
      </c>
      <c r="M918" s="1468">
        <v>3.4749000000000002E-2</v>
      </c>
      <c r="N918" s="1469">
        <v>1.3609450345434131</v>
      </c>
      <c r="O918" s="1469">
        <v>1.3848085571562949</v>
      </c>
    </row>
    <row r="919" spans="11:15">
      <c r="K919" s="1466">
        <v>42976</v>
      </c>
      <c r="L919" s="1467" t="s">
        <v>2127</v>
      </c>
      <c r="M919" s="1468">
        <v>3.4749000000000002E-2</v>
      </c>
      <c r="N919" s="1469">
        <v>1.3614179493334666</v>
      </c>
      <c r="O919" s="1469">
        <v>1.3855360109394548</v>
      </c>
    </row>
    <row r="920" spans="11:15">
      <c r="K920" s="1466">
        <v>42977</v>
      </c>
      <c r="L920" s="1467" t="s">
        <v>2127</v>
      </c>
      <c r="M920" s="1468">
        <v>3.4749000000000002E-2</v>
      </c>
      <c r="N920" s="1469">
        <v>1.3618910284566805</v>
      </c>
      <c r="O920" s="1469">
        <v>1.3862638468613613</v>
      </c>
    </row>
    <row r="921" spans="11:15">
      <c r="K921" s="1466">
        <v>42978</v>
      </c>
      <c r="L921" s="1467" t="s">
        <v>2127</v>
      </c>
      <c r="M921" s="1468">
        <v>3.4749000000000002E-2</v>
      </c>
      <c r="N921" s="1469">
        <v>1.362364271970159</v>
      </c>
      <c r="O921" s="1469">
        <v>1.3869920651227561</v>
      </c>
    </row>
    <row r="922" spans="11:15">
      <c r="K922" s="1466">
        <v>42979</v>
      </c>
      <c r="L922" s="1467" t="s">
        <v>2127</v>
      </c>
      <c r="M922" s="1468">
        <v>3.4749000000000002E-2</v>
      </c>
      <c r="N922" s="1469">
        <v>1.3628376799310258</v>
      </c>
      <c r="O922" s="1469">
        <v>1.3877206659244856</v>
      </c>
    </row>
    <row r="923" spans="11:15">
      <c r="K923" s="1466">
        <v>42980</v>
      </c>
      <c r="L923" s="1467"/>
      <c r="M923" s="1468">
        <v>0</v>
      </c>
      <c r="N923" s="1469">
        <v>1.3628376799310258</v>
      </c>
      <c r="O923" s="1469">
        <v>1.3877206659244856</v>
      </c>
    </row>
    <row r="924" spans="11:15">
      <c r="K924" s="1466">
        <v>42981</v>
      </c>
      <c r="L924" s="1467"/>
      <c r="M924" s="1468">
        <v>0</v>
      </c>
      <c r="N924" s="1469">
        <v>1.3628376799310258</v>
      </c>
      <c r="O924" s="1469">
        <v>1.3877206659244856</v>
      </c>
    </row>
    <row r="925" spans="11:15">
      <c r="K925" s="1466">
        <v>42982</v>
      </c>
      <c r="L925" s="1467" t="s">
        <v>2127</v>
      </c>
      <c r="M925" s="1468">
        <v>3.4749000000000002E-2</v>
      </c>
      <c r="N925" s="1469">
        <v>1.363311252396425</v>
      </c>
      <c r="O925" s="1469">
        <v>1.3884496494675025</v>
      </c>
    </row>
    <row r="926" spans="11:15">
      <c r="K926" s="1466">
        <v>42983</v>
      </c>
      <c r="L926" s="1467" t="s">
        <v>2127</v>
      </c>
      <c r="M926" s="1468">
        <v>3.4749000000000002E-2</v>
      </c>
      <c r="N926" s="1469">
        <v>1.3637849894235203</v>
      </c>
      <c r="O926" s="1469">
        <v>1.3891790159528643</v>
      </c>
    </row>
    <row r="927" spans="11:15">
      <c r="K927" s="1466">
        <v>42984</v>
      </c>
      <c r="L927" s="1467" t="s">
        <v>2127</v>
      </c>
      <c r="M927" s="1468">
        <v>3.4749000000000002E-2</v>
      </c>
      <c r="N927" s="1469">
        <v>1.364258891069495</v>
      </c>
      <c r="O927" s="1469">
        <v>1.3899087655817346</v>
      </c>
    </row>
    <row r="928" spans="11:15">
      <c r="K928" s="1466">
        <v>42985</v>
      </c>
      <c r="L928" s="1467"/>
      <c r="M928" s="1468">
        <v>0</v>
      </c>
      <c r="N928" s="1469">
        <v>1.364258891069495</v>
      </c>
      <c r="O928" s="1469">
        <v>1.3899087655817346</v>
      </c>
    </row>
    <row r="929" spans="11:15">
      <c r="K929" s="1466">
        <v>42986</v>
      </c>
      <c r="L929" s="1467" t="s">
        <v>2127</v>
      </c>
      <c r="M929" s="1468">
        <v>3.1095999999999999E-2</v>
      </c>
      <c r="N929" s="1469">
        <v>1.364683121014262</v>
      </c>
      <c r="O929" s="1469">
        <v>1.3906388985553824</v>
      </c>
    </row>
    <row r="930" spans="11:15">
      <c r="K930" s="1466">
        <v>42987</v>
      </c>
      <c r="L930" s="1467"/>
      <c r="M930" s="1468">
        <v>0</v>
      </c>
      <c r="N930" s="1469">
        <v>1.364683121014262</v>
      </c>
      <c r="O930" s="1469">
        <v>1.3906388985553824</v>
      </c>
    </row>
    <row r="931" spans="11:15">
      <c r="K931" s="1466">
        <v>42988</v>
      </c>
      <c r="L931" s="1467"/>
      <c r="M931" s="1468">
        <v>0</v>
      </c>
      <c r="N931" s="1469">
        <v>1.364683121014262</v>
      </c>
      <c r="O931" s="1469">
        <v>1.3906388985553824</v>
      </c>
    </row>
    <row r="932" spans="11:15">
      <c r="K932" s="1466">
        <v>42989</v>
      </c>
      <c r="L932" s="1467" t="s">
        <v>2127</v>
      </c>
      <c r="M932" s="1468">
        <v>3.1095999999999999E-2</v>
      </c>
      <c r="N932" s="1469">
        <v>1.3651074828775727</v>
      </c>
      <c r="O932" s="1469">
        <v>1.3913694150751825</v>
      </c>
    </row>
    <row r="933" spans="11:15">
      <c r="K933" s="1466">
        <v>42990</v>
      </c>
      <c r="L933" s="1467" t="s">
        <v>2127</v>
      </c>
      <c r="M933" s="1468">
        <v>3.1095999999999999E-2</v>
      </c>
      <c r="N933" s="1469">
        <v>1.3655319767004481</v>
      </c>
      <c r="O933" s="1469">
        <v>1.3921003153426157</v>
      </c>
    </row>
    <row r="934" spans="11:15">
      <c r="K934" s="1466">
        <v>42991</v>
      </c>
      <c r="L934" s="1467" t="s">
        <v>2127</v>
      </c>
      <c r="M934" s="1468">
        <v>3.1095999999999999E-2</v>
      </c>
      <c r="N934" s="1469">
        <v>1.3659566025239229</v>
      </c>
      <c r="O934" s="1469">
        <v>1.3928315995592684</v>
      </c>
    </row>
    <row r="935" spans="11:15">
      <c r="K935" s="1466">
        <v>42992</v>
      </c>
      <c r="L935" s="1467" t="s">
        <v>2127</v>
      </c>
      <c r="M935" s="1468">
        <v>3.1095999999999999E-2</v>
      </c>
      <c r="N935" s="1469">
        <v>1.3663813603890438</v>
      </c>
      <c r="O935" s="1469">
        <v>1.3935632679268328</v>
      </c>
    </row>
    <row r="936" spans="11:15">
      <c r="K936" s="1466">
        <v>42993</v>
      </c>
      <c r="L936" s="1467" t="s">
        <v>2127</v>
      </c>
      <c r="M936" s="1468">
        <v>3.1095999999999999E-2</v>
      </c>
      <c r="N936" s="1469">
        <v>1.3668062503368703</v>
      </c>
      <c r="O936" s="1469">
        <v>1.3942953206471074</v>
      </c>
    </row>
    <row r="937" spans="11:15">
      <c r="K937" s="1466">
        <v>42994</v>
      </c>
      <c r="L937" s="1467"/>
      <c r="M937" s="1468">
        <v>0</v>
      </c>
      <c r="N937" s="1469">
        <v>1.3668062503368703</v>
      </c>
      <c r="O937" s="1469">
        <v>1.3942953206471074</v>
      </c>
    </row>
    <row r="938" spans="11:15">
      <c r="K938" s="1466">
        <v>42995</v>
      </c>
      <c r="L938" s="1467"/>
      <c r="M938" s="1468">
        <v>0</v>
      </c>
      <c r="N938" s="1469">
        <v>1.3668062503368703</v>
      </c>
      <c r="O938" s="1469">
        <v>1.3942953206471074</v>
      </c>
    </row>
    <row r="939" spans="11:15">
      <c r="K939" s="1466">
        <v>42996</v>
      </c>
      <c r="L939" s="1467" t="s">
        <v>2127</v>
      </c>
      <c r="M939" s="1468">
        <v>3.1095999999999999E-2</v>
      </c>
      <c r="N939" s="1469">
        <v>1.367231272408475</v>
      </c>
      <c r="O939" s="1469">
        <v>1.3950277579219965</v>
      </c>
    </row>
    <row r="940" spans="11:15">
      <c r="K940" s="1466">
        <v>42997</v>
      </c>
      <c r="L940" s="1467" t="s">
        <v>2127</v>
      </c>
      <c r="M940" s="1468">
        <v>3.1095999999999999E-2</v>
      </c>
      <c r="N940" s="1469">
        <v>1.3676564266449431</v>
      </c>
      <c r="O940" s="1469">
        <v>1.3957605799535104</v>
      </c>
    </row>
    <row r="941" spans="11:15">
      <c r="K941" s="1466">
        <v>42998</v>
      </c>
      <c r="L941" s="1467" t="s">
        <v>2127</v>
      </c>
      <c r="M941" s="1468">
        <v>3.1095999999999999E-2</v>
      </c>
      <c r="N941" s="1469">
        <v>1.3680817130873726</v>
      </c>
      <c r="O941" s="1469">
        <v>1.3964937869437659</v>
      </c>
    </row>
    <row r="942" spans="11:15">
      <c r="K942" s="1466">
        <v>42999</v>
      </c>
      <c r="L942" s="1467" t="s">
        <v>2127</v>
      </c>
      <c r="M942" s="1468">
        <v>3.1095999999999999E-2</v>
      </c>
      <c r="N942" s="1469">
        <v>1.3685071317768742</v>
      </c>
      <c r="O942" s="1469">
        <v>1.3972273790949854</v>
      </c>
    </row>
    <row r="943" spans="11:15">
      <c r="K943" s="1466">
        <v>43000</v>
      </c>
      <c r="L943" s="1467" t="s">
        <v>2127</v>
      </c>
      <c r="M943" s="1468">
        <v>3.1095999999999999E-2</v>
      </c>
      <c r="N943" s="1469">
        <v>1.3689326827545716</v>
      </c>
      <c r="O943" s="1469">
        <v>1.3979613566094977</v>
      </c>
    </row>
    <row r="944" spans="11:15">
      <c r="K944" s="1466">
        <v>43001</v>
      </c>
      <c r="L944" s="1467"/>
      <c r="M944" s="1468">
        <v>0</v>
      </c>
      <c r="N944" s="1469">
        <v>1.3689326827545716</v>
      </c>
      <c r="O944" s="1469">
        <v>1.3979613566094977</v>
      </c>
    </row>
    <row r="945" spans="11:15">
      <c r="K945" s="1466">
        <v>43002</v>
      </c>
      <c r="L945" s="1467"/>
      <c r="M945" s="1468">
        <v>0</v>
      </c>
      <c r="N945" s="1469">
        <v>1.3689326827545716</v>
      </c>
      <c r="O945" s="1469">
        <v>1.3979613566094977</v>
      </c>
    </row>
    <row r="946" spans="11:15">
      <c r="K946" s="1466">
        <v>43003</v>
      </c>
      <c r="L946" s="1467" t="s">
        <v>2127</v>
      </c>
      <c r="M946" s="1468">
        <v>3.1095999999999999E-2</v>
      </c>
      <c r="N946" s="1469">
        <v>1.3693583660616009</v>
      </c>
      <c r="O946" s="1469">
        <v>1.3986957196897383</v>
      </c>
    </row>
    <row r="947" spans="11:15">
      <c r="K947" s="1466">
        <v>43004</v>
      </c>
      <c r="L947" s="1467" t="s">
        <v>2127</v>
      </c>
      <c r="M947" s="1468">
        <v>3.1095999999999999E-2</v>
      </c>
      <c r="N947" s="1469">
        <v>1.3697841817391114</v>
      </c>
      <c r="O947" s="1469">
        <v>1.3994304685382486</v>
      </c>
    </row>
    <row r="948" spans="11:15">
      <c r="K948" s="1466">
        <v>43005</v>
      </c>
      <c r="L948" s="1467" t="s">
        <v>2127</v>
      </c>
      <c r="M948" s="1468">
        <v>3.1095999999999999E-2</v>
      </c>
      <c r="N948" s="1469">
        <v>1.370210129828265</v>
      </c>
      <c r="O948" s="1469">
        <v>1.4001656033576764</v>
      </c>
    </row>
    <row r="949" spans="11:15">
      <c r="K949" s="1466">
        <v>43006</v>
      </c>
      <c r="L949" s="1467" t="s">
        <v>2127</v>
      </c>
      <c r="M949" s="1468">
        <v>3.1095999999999999E-2</v>
      </c>
      <c r="N949" s="1469">
        <v>1.3706362103702363</v>
      </c>
      <c r="O949" s="1469">
        <v>1.4009011243507763</v>
      </c>
    </row>
    <row r="950" spans="11:15">
      <c r="K950" s="1466">
        <v>43007</v>
      </c>
      <c r="L950" s="1467" t="s">
        <v>2127</v>
      </c>
      <c r="M950" s="1468">
        <v>3.1095999999999999E-2</v>
      </c>
      <c r="N950" s="1469">
        <v>1.371062423406213</v>
      </c>
      <c r="O950" s="1469">
        <v>1.401637031720409</v>
      </c>
    </row>
    <row r="951" spans="11:15">
      <c r="K951" s="1466">
        <v>43008</v>
      </c>
      <c r="L951" s="1467"/>
      <c r="M951" s="1468">
        <v>0</v>
      </c>
      <c r="N951" s="1469">
        <v>1.371062423406213</v>
      </c>
      <c r="O951" s="1469">
        <v>1.401637031720409</v>
      </c>
    </row>
    <row r="952" spans="11:15">
      <c r="K952" s="1466">
        <v>43009</v>
      </c>
      <c r="L952" s="1467"/>
      <c r="M952" s="1468">
        <v>0</v>
      </c>
      <c r="N952" s="1469">
        <v>1.371062423406213</v>
      </c>
      <c r="O952" s="1469">
        <v>1.401637031720409</v>
      </c>
    </row>
    <row r="953" spans="11:15">
      <c r="K953" s="1466">
        <v>43010</v>
      </c>
      <c r="L953" s="1467" t="s">
        <v>2127</v>
      </c>
      <c r="M953" s="1468">
        <v>3.1095999999999999E-2</v>
      </c>
      <c r="N953" s="1469">
        <v>1.3714887689773954</v>
      </c>
      <c r="O953" s="1469">
        <v>1.4023733256695421</v>
      </c>
    </row>
    <row r="954" spans="11:15">
      <c r="K954" s="1466">
        <v>43011</v>
      </c>
      <c r="L954" s="1467" t="s">
        <v>2127</v>
      </c>
      <c r="M954" s="1468">
        <v>3.1095999999999999E-2</v>
      </c>
      <c r="N954" s="1469">
        <v>1.3719152471249965</v>
      </c>
      <c r="O954" s="1469">
        <v>1.4031100064012496</v>
      </c>
    </row>
    <row r="955" spans="11:15">
      <c r="K955" s="1466">
        <v>43012</v>
      </c>
      <c r="L955" s="1467" t="s">
        <v>2127</v>
      </c>
      <c r="M955" s="1468">
        <v>3.1095999999999999E-2</v>
      </c>
      <c r="N955" s="1469">
        <v>1.3723418578902424</v>
      </c>
      <c r="O955" s="1469">
        <v>1.4038470741187123</v>
      </c>
    </row>
    <row r="956" spans="11:15">
      <c r="K956" s="1466">
        <v>43013</v>
      </c>
      <c r="L956" s="1467" t="s">
        <v>2127</v>
      </c>
      <c r="M956" s="1468">
        <v>3.1095999999999999E-2</v>
      </c>
      <c r="N956" s="1469">
        <v>1.3727686013143718</v>
      </c>
      <c r="O956" s="1469">
        <v>1.4045845290252177</v>
      </c>
    </row>
    <row r="957" spans="11:15">
      <c r="K957" s="1466">
        <v>43014</v>
      </c>
      <c r="L957" s="1467" t="s">
        <v>2127</v>
      </c>
      <c r="M957" s="1468">
        <v>3.1095999999999999E-2</v>
      </c>
      <c r="N957" s="1469">
        <v>1.3731954774386366</v>
      </c>
      <c r="O957" s="1469">
        <v>1.4053223713241598</v>
      </c>
    </row>
    <row r="958" spans="11:15">
      <c r="K958" s="1466">
        <v>43015</v>
      </c>
      <c r="L958" s="1467"/>
      <c r="M958" s="1468">
        <v>0</v>
      </c>
      <c r="N958" s="1469">
        <v>1.3731954774386366</v>
      </c>
      <c r="O958" s="1469">
        <v>1.4053223713241598</v>
      </c>
    </row>
    <row r="959" spans="11:15">
      <c r="K959" s="1466">
        <v>43016</v>
      </c>
      <c r="L959" s="1467"/>
      <c r="M959" s="1468">
        <v>0</v>
      </c>
      <c r="N959" s="1469">
        <v>1.3731954774386366</v>
      </c>
      <c r="O959" s="1469">
        <v>1.4053223713241598</v>
      </c>
    </row>
    <row r="960" spans="11:15">
      <c r="K960" s="1466">
        <v>43017</v>
      </c>
      <c r="L960" s="1467" t="s">
        <v>2127</v>
      </c>
      <c r="M960" s="1468">
        <v>3.1095999999999999E-2</v>
      </c>
      <c r="N960" s="1469">
        <v>1.3736224863043009</v>
      </c>
      <c r="O960" s="1469">
        <v>1.4060606012190402</v>
      </c>
    </row>
    <row r="961" spans="11:15">
      <c r="K961" s="1466">
        <v>43018</v>
      </c>
      <c r="L961" s="1467" t="s">
        <v>2127</v>
      </c>
      <c r="M961" s="1468">
        <v>3.1095999999999999E-2</v>
      </c>
      <c r="N961" s="1469">
        <v>1.3740496279526422</v>
      </c>
      <c r="O961" s="1469">
        <v>1.4067992189134666</v>
      </c>
    </row>
    <row r="962" spans="11:15">
      <c r="K962" s="1466">
        <v>43019</v>
      </c>
      <c r="L962" s="1467" t="s">
        <v>2127</v>
      </c>
      <c r="M962" s="1468">
        <v>3.1095999999999999E-2</v>
      </c>
      <c r="N962" s="1469">
        <v>1.3744769024249504</v>
      </c>
      <c r="O962" s="1469">
        <v>1.4075382246111541</v>
      </c>
    </row>
    <row r="963" spans="11:15">
      <c r="K963" s="1466">
        <v>43020</v>
      </c>
      <c r="L963" s="1467"/>
      <c r="M963" s="1468">
        <v>0</v>
      </c>
      <c r="N963" s="1469">
        <v>1.3744769024249504</v>
      </c>
      <c r="O963" s="1469">
        <v>1.4075382246111541</v>
      </c>
    </row>
    <row r="964" spans="11:15">
      <c r="K964" s="1466">
        <v>43021</v>
      </c>
      <c r="L964" s="1467" t="s">
        <v>2127</v>
      </c>
      <c r="M964" s="1468">
        <v>3.1095999999999999E-2</v>
      </c>
      <c r="N964" s="1469">
        <v>1.3749043097625284</v>
      </c>
      <c r="O964" s="1469">
        <v>1.4082776185159245</v>
      </c>
    </row>
    <row r="965" spans="11:15">
      <c r="K965" s="1466">
        <v>43022</v>
      </c>
      <c r="L965" s="1467"/>
      <c r="M965" s="1468">
        <v>0</v>
      </c>
      <c r="N965" s="1469">
        <v>1.3749043097625284</v>
      </c>
      <c r="O965" s="1469">
        <v>1.4082776185159245</v>
      </c>
    </row>
    <row r="966" spans="11:15">
      <c r="K966" s="1466">
        <v>43023</v>
      </c>
      <c r="L966" s="1467"/>
      <c r="M966" s="1468">
        <v>0</v>
      </c>
      <c r="N966" s="1469">
        <v>1.3749043097625284</v>
      </c>
      <c r="O966" s="1469">
        <v>1.4082776185159245</v>
      </c>
    </row>
    <row r="967" spans="11:15">
      <c r="K967" s="1466">
        <v>43024</v>
      </c>
      <c r="L967" s="1467" t="s">
        <v>2127</v>
      </c>
      <c r="M967" s="1468">
        <v>3.1095999999999999E-2</v>
      </c>
      <c r="N967" s="1469">
        <v>1.3753318500066922</v>
      </c>
      <c r="O967" s="1469">
        <v>1.4090174008317071</v>
      </c>
    </row>
    <row r="968" spans="11:15">
      <c r="K968" s="1466">
        <v>43025</v>
      </c>
      <c r="L968" s="1467" t="s">
        <v>2127</v>
      </c>
      <c r="M968" s="1468">
        <v>3.1095999999999999E-2</v>
      </c>
      <c r="N968" s="1469">
        <v>1.3757595231987703</v>
      </c>
      <c r="O968" s="1469">
        <v>1.4097575717625381</v>
      </c>
    </row>
    <row r="969" spans="11:15">
      <c r="K969" s="1466">
        <v>43026</v>
      </c>
      <c r="L969" s="1467" t="s">
        <v>2127</v>
      </c>
      <c r="M969" s="1468">
        <v>3.1095999999999999E-2</v>
      </c>
      <c r="N969" s="1469">
        <v>1.3761873293801041</v>
      </c>
      <c r="O969" s="1469">
        <v>1.4104981315125606</v>
      </c>
    </row>
    <row r="970" spans="11:15">
      <c r="K970" s="1466">
        <v>43027</v>
      </c>
      <c r="L970" s="1467" t="s">
        <v>2127</v>
      </c>
      <c r="M970" s="1468">
        <v>3.1095999999999999E-2</v>
      </c>
      <c r="N970" s="1469">
        <v>1.3766152685920481</v>
      </c>
      <c r="O970" s="1469">
        <v>1.4112390802860255</v>
      </c>
    </row>
    <row r="971" spans="11:15">
      <c r="K971" s="1466">
        <v>43028</v>
      </c>
      <c r="L971" s="1467" t="s">
        <v>2127</v>
      </c>
      <c r="M971" s="1468">
        <v>3.1095999999999999E-2</v>
      </c>
      <c r="N971" s="1469">
        <v>1.3770433408759695</v>
      </c>
      <c r="O971" s="1469">
        <v>1.4119804182872906</v>
      </c>
    </row>
    <row r="972" spans="11:15">
      <c r="K972" s="1466">
        <v>43029</v>
      </c>
      <c r="L972" s="1467"/>
      <c r="M972" s="1468">
        <v>0</v>
      </c>
      <c r="N972" s="1469">
        <v>1.3770433408759695</v>
      </c>
      <c r="O972" s="1469">
        <v>1.4119804182872906</v>
      </c>
    </row>
    <row r="973" spans="11:15">
      <c r="K973" s="1466">
        <v>43030</v>
      </c>
      <c r="L973" s="1467"/>
      <c r="M973" s="1468">
        <v>0</v>
      </c>
      <c r="N973" s="1469">
        <v>1.3770433408759695</v>
      </c>
      <c r="O973" s="1469">
        <v>1.4119804182872906</v>
      </c>
    </row>
    <row r="974" spans="11:15">
      <c r="K974" s="1466">
        <v>43031</v>
      </c>
      <c r="L974" s="1467" t="s">
        <v>2127</v>
      </c>
      <c r="M974" s="1468">
        <v>3.1095999999999999E-2</v>
      </c>
      <c r="N974" s="1469">
        <v>1.3774715462732483</v>
      </c>
      <c r="O974" s="1469">
        <v>1.412722145720821</v>
      </c>
    </row>
    <row r="975" spans="11:15">
      <c r="K975" s="1466">
        <v>43032</v>
      </c>
      <c r="L975" s="1467" t="s">
        <v>2127</v>
      </c>
      <c r="M975" s="1468">
        <v>3.1095999999999999E-2</v>
      </c>
      <c r="N975" s="1469">
        <v>1.3778998848252775</v>
      </c>
      <c r="O975" s="1469">
        <v>1.4134642627911895</v>
      </c>
    </row>
    <row r="976" spans="11:15">
      <c r="K976" s="1466">
        <v>43033</v>
      </c>
      <c r="L976" s="1467" t="s">
        <v>2127</v>
      </c>
      <c r="M976" s="1468">
        <v>3.1095999999999999E-2</v>
      </c>
      <c r="N976" s="1469">
        <v>1.3783283565734628</v>
      </c>
      <c r="O976" s="1469">
        <v>1.4142067697030765</v>
      </c>
    </row>
    <row r="977" spans="11:15">
      <c r="K977" s="1466">
        <v>43034</v>
      </c>
      <c r="L977" s="1467" t="s">
        <v>2127</v>
      </c>
      <c r="M977" s="1468">
        <v>2.8333000000000001E-2</v>
      </c>
      <c r="N977" s="1469">
        <v>1.3787188783467308</v>
      </c>
      <c r="O977" s="1469">
        <v>1.4149496666612691</v>
      </c>
    </row>
    <row r="978" spans="11:15">
      <c r="K978" s="1466">
        <v>43035</v>
      </c>
      <c r="L978" s="1467" t="s">
        <v>2127</v>
      </c>
      <c r="M978" s="1468">
        <v>2.8333000000000001E-2</v>
      </c>
      <c r="N978" s="1469">
        <v>1.3791095107665328</v>
      </c>
      <c r="O978" s="1469">
        <v>1.4156929538706629</v>
      </c>
    </row>
    <row r="979" spans="11:15">
      <c r="K979" s="1466">
        <v>43036</v>
      </c>
      <c r="L979" s="1467"/>
      <c r="M979" s="1468">
        <v>0</v>
      </c>
      <c r="N979" s="1469">
        <v>1.3791095107665328</v>
      </c>
      <c r="O979" s="1469">
        <v>1.4156929538706629</v>
      </c>
    </row>
    <row r="980" spans="11:15">
      <c r="K980" s="1466">
        <v>43037</v>
      </c>
      <c r="L980" s="1467"/>
      <c r="M980" s="1468">
        <v>0</v>
      </c>
      <c r="N980" s="1469">
        <v>1.3791095107665328</v>
      </c>
      <c r="O980" s="1469">
        <v>1.4156929538706629</v>
      </c>
    </row>
    <row r="981" spans="11:15">
      <c r="K981" s="1466">
        <v>43038</v>
      </c>
      <c r="L981" s="1467" t="s">
        <v>2127</v>
      </c>
      <c r="M981" s="1468">
        <v>2.8333000000000001E-2</v>
      </c>
      <c r="N981" s="1469">
        <v>1.3795002538642183</v>
      </c>
      <c r="O981" s="1469">
        <v>1.4164366315362606</v>
      </c>
    </row>
    <row r="982" spans="11:15">
      <c r="K982" s="1466">
        <v>43039</v>
      </c>
      <c r="L982" s="1467" t="s">
        <v>2127</v>
      </c>
      <c r="M982" s="1468">
        <v>2.8333000000000001E-2</v>
      </c>
      <c r="N982" s="1469">
        <v>1.3798911076711458</v>
      </c>
      <c r="O982" s="1469">
        <v>1.4171806998631729</v>
      </c>
    </row>
    <row r="983" spans="11:15">
      <c r="K983" s="1466">
        <v>43040</v>
      </c>
      <c r="L983" s="1467" t="s">
        <v>2127</v>
      </c>
      <c r="M983" s="1468">
        <v>2.8333000000000001E-2</v>
      </c>
      <c r="N983" s="1469">
        <v>1.3802820722186822</v>
      </c>
      <c r="O983" s="1469">
        <v>1.417925159056618</v>
      </c>
    </row>
    <row r="984" spans="11:15">
      <c r="K984" s="1466">
        <v>43041</v>
      </c>
      <c r="L984" s="1467"/>
      <c r="M984" s="1468">
        <v>0</v>
      </c>
      <c r="N984" s="1469">
        <v>1.3802820722186822</v>
      </c>
      <c r="O984" s="1469">
        <v>1.417925159056618</v>
      </c>
    </row>
    <row r="985" spans="11:15">
      <c r="K985" s="1466">
        <v>43042</v>
      </c>
      <c r="L985" s="1467" t="s">
        <v>2127</v>
      </c>
      <c r="M985" s="1468">
        <v>2.8333000000000001E-2</v>
      </c>
      <c r="N985" s="1469">
        <v>1.3806731475382039</v>
      </c>
      <c r="O985" s="1469">
        <v>1.418670009321922</v>
      </c>
    </row>
    <row r="986" spans="11:15">
      <c r="K986" s="1466">
        <v>43043</v>
      </c>
      <c r="L986" s="1467"/>
      <c r="M986" s="1468">
        <v>0</v>
      </c>
      <c r="N986" s="1469">
        <v>1.3806731475382039</v>
      </c>
      <c r="O986" s="1469">
        <v>1.418670009321922</v>
      </c>
    </row>
    <row r="987" spans="11:15">
      <c r="K987" s="1466">
        <v>43044</v>
      </c>
      <c r="L987" s="1467"/>
      <c r="M987" s="1468">
        <v>0</v>
      </c>
      <c r="N987" s="1469">
        <v>1.3806731475382039</v>
      </c>
      <c r="O987" s="1469">
        <v>1.418670009321922</v>
      </c>
    </row>
    <row r="988" spans="11:15">
      <c r="K988" s="1466">
        <v>43045</v>
      </c>
      <c r="L988" s="1467" t="s">
        <v>2127</v>
      </c>
      <c r="M988" s="1468">
        <v>2.8333000000000001E-2</v>
      </c>
      <c r="N988" s="1469">
        <v>1.3810643336610959</v>
      </c>
      <c r="O988" s="1469">
        <v>1.4194152508645188</v>
      </c>
    </row>
    <row r="989" spans="11:15">
      <c r="K989" s="1466">
        <v>43046</v>
      </c>
      <c r="L989" s="1467" t="s">
        <v>2127</v>
      </c>
      <c r="M989" s="1468">
        <v>2.8333000000000001E-2</v>
      </c>
      <c r="N989" s="1469">
        <v>1.3814556306187522</v>
      </c>
      <c r="O989" s="1469">
        <v>1.4201608838899504</v>
      </c>
    </row>
    <row r="990" spans="11:15">
      <c r="K990" s="1466">
        <v>43047</v>
      </c>
      <c r="L990" s="1467" t="s">
        <v>2127</v>
      </c>
      <c r="M990" s="1468">
        <v>2.8333000000000001E-2</v>
      </c>
      <c r="N990" s="1469">
        <v>1.3818470384425754</v>
      </c>
      <c r="O990" s="1469">
        <v>1.4209069086038666</v>
      </c>
    </row>
    <row r="991" spans="11:15">
      <c r="K991" s="1466">
        <v>43048</v>
      </c>
      <c r="L991" s="1467" t="s">
        <v>2127</v>
      </c>
      <c r="M991" s="1468">
        <v>2.8333000000000001E-2</v>
      </c>
      <c r="N991" s="1469">
        <v>1.3822385571639773</v>
      </c>
      <c r="O991" s="1469">
        <v>1.4216533252120254</v>
      </c>
    </row>
    <row r="992" spans="11:15">
      <c r="K992" s="1466">
        <v>43049</v>
      </c>
      <c r="L992" s="1467" t="s">
        <v>2127</v>
      </c>
      <c r="M992" s="1468">
        <v>2.8333000000000001E-2</v>
      </c>
      <c r="N992" s="1469">
        <v>1.3826301868143787</v>
      </c>
      <c r="O992" s="1469">
        <v>1.4224001339202925</v>
      </c>
    </row>
    <row r="993" spans="11:15">
      <c r="K993" s="1466">
        <v>43050</v>
      </c>
      <c r="L993" s="1467"/>
      <c r="M993" s="1468">
        <v>0</v>
      </c>
      <c r="N993" s="1469">
        <v>1.3826301868143787</v>
      </c>
      <c r="O993" s="1469">
        <v>1.4224001339202925</v>
      </c>
    </row>
    <row r="994" spans="11:15">
      <c r="K994" s="1466">
        <v>43051</v>
      </c>
      <c r="L994" s="1467"/>
      <c r="M994" s="1468">
        <v>0</v>
      </c>
      <c r="N994" s="1469">
        <v>1.3826301868143787</v>
      </c>
      <c r="O994" s="1469">
        <v>1.4224001339202925</v>
      </c>
    </row>
    <row r="995" spans="11:15">
      <c r="K995" s="1466">
        <v>43052</v>
      </c>
      <c r="L995" s="1467" t="s">
        <v>2127</v>
      </c>
      <c r="M995" s="1468">
        <v>2.8333000000000001E-2</v>
      </c>
      <c r="N995" s="1469">
        <v>1.3830219274252089</v>
      </c>
      <c r="O995" s="1469">
        <v>1.4231473349346422</v>
      </c>
    </row>
    <row r="996" spans="11:15">
      <c r="K996" s="1466">
        <v>43053</v>
      </c>
      <c r="L996" s="1467" t="s">
        <v>2127</v>
      </c>
      <c r="M996" s="1468">
        <v>2.8333000000000001E-2</v>
      </c>
      <c r="N996" s="1469">
        <v>1.3834137790279064</v>
      </c>
      <c r="O996" s="1469">
        <v>1.4238949284611566</v>
      </c>
    </row>
    <row r="997" spans="11:15">
      <c r="K997" s="1466">
        <v>43054</v>
      </c>
      <c r="L997" s="1467"/>
      <c r="M997" s="1468">
        <v>0</v>
      </c>
      <c r="N997" s="1469">
        <v>1.3834137790279064</v>
      </c>
      <c r="O997" s="1469">
        <v>1.4238949284611566</v>
      </c>
    </row>
    <row r="998" spans="11:15">
      <c r="K998" s="1466">
        <v>43055</v>
      </c>
      <c r="L998" s="1467" t="s">
        <v>2127</v>
      </c>
      <c r="M998" s="1468">
        <v>2.8333000000000001E-2</v>
      </c>
      <c r="N998" s="1469">
        <v>1.3838057416539185</v>
      </c>
      <c r="O998" s="1469">
        <v>1.4246429147060264</v>
      </c>
    </row>
    <row r="999" spans="11:15">
      <c r="K999" s="1466">
        <v>43056</v>
      </c>
      <c r="L999" s="1467" t="s">
        <v>2127</v>
      </c>
      <c r="M999" s="1468">
        <v>2.8333000000000001E-2</v>
      </c>
      <c r="N999" s="1469">
        <v>1.3841978153347012</v>
      </c>
      <c r="O999" s="1469">
        <v>1.4253912938755506</v>
      </c>
    </row>
    <row r="1000" spans="11:15">
      <c r="K1000" s="1466">
        <v>43057</v>
      </c>
      <c r="L1000" s="1467"/>
      <c r="M1000" s="1468">
        <v>0</v>
      </c>
      <c r="N1000" s="1469">
        <v>1.3841978153347012</v>
      </c>
      <c r="O1000" s="1469">
        <v>1.4253912938755506</v>
      </c>
    </row>
    <row r="1001" spans="11:15">
      <c r="K1001" s="1466">
        <v>43058</v>
      </c>
      <c r="L1001" s="1467"/>
      <c r="M1001" s="1468">
        <v>0</v>
      </c>
      <c r="N1001" s="1469">
        <v>1.3841978153347012</v>
      </c>
      <c r="O1001" s="1469">
        <v>1.4253912938755506</v>
      </c>
    </row>
    <row r="1002" spans="11:15">
      <c r="K1002" s="1466">
        <v>43059</v>
      </c>
      <c r="L1002" s="1467" t="s">
        <v>2127</v>
      </c>
      <c r="M1002" s="1468">
        <v>2.8333000000000001E-2</v>
      </c>
      <c r="N1002" s="1469">
        <v>1.38459000010172</v>
      </c>
      <c r="O1002" s="1469">
        <v>1.4261400661761363</v>
      </c>
    </row>
    <row r="1003" spans="11:15">
      <c r="K1003" s="1466">
        <v>43060</v>
      </c>
      <c r="L1003" s="1467" t="s">
        <v>2127</v>
      </c>
      <c r="M1003" s="1468">
        <v>2.8333000000000001E-2</v>
      </c>
      <c r="N1003" s="1469">
        <v>1.3849822959864488</v>
      </c>
      <c r="O1003" s="1469">
        <v>1.4268892318142994</v>
      </c>
    </row>
    <row r="1004" spans="11:15">
      <c r="K1004" s="1466">
        <v>43061</v>
      </c>
      <c r="L1004" s="1467" t="s">
        <v>2127</v>
      </c>
      <c r="M1004" s="1468">
        <v>2.8333000000000001E-2</v>
      </c>
      <c r="N1004" s="1469">
        <v>1.3853747030203707</v>
      </c>
      <c r="O1004" s="1469">
        <v>1.4276387909966637</v>
      </c>
    </row>
    <row r="1005" spans="11:15">
      <c r="K1005" s="1466">
        <v>43062</v>
      </c>
      <c r="L1005" s="1467" t="s">
        <v>2127</v>
      </c>
      <c r="M1005" s="1468">
        <v>2.8333000000000001E-2</v>
      </c>
      <c r="N1005" s="1469">
        <v>1.3857672212349774</v>
      </c>
      <c r="O1005" s="1469">
        <v>1.4283887439299621</v>
      </c>
    </row>
    <row r="1006" spans="11:15">
      <c r="K1006" s="1466">
        <v>43063</v>
      </c>
      <c r="L1006" s="1467" t="s">
        <v>2127</v>
      </c>
      <c r="M1006" s="1468">
        <v>2.8333000000000001E-2</v>
      </c>
      <c r="N1006" s="1469">
        <v>1.3861598506617701</v>
      </c>
      <c r="O1006" s="1469">
        <v>1.429139090821036</v>
      </c>
    </row>
    <row r="1007" spans="11:15">
      <c r="K1007" s="1466">
        <v>43064</v>
      </c>
      <c r="L1007" s="1467"/>
      <c r="M1007" s="1468">
        <v>0</v>
      </c>
      <c r="N1007" s="1469">
        <v>1.3861598506617701</v>
      </c>
      <c r="O1007" s="1469">
        <v>1.429139090821036</v>
      </c>
    </row>
    <row r="1008" spans="11:15">
      <c r="K1008" s="1466">
        <v>43065</v>
      </c>
      <c r="L1008" s="1467"/>
      <c r="M1008" s="1468">
        <v>0</v>
      </c>
      <c r="N1008" s="1469">
        <v>1.3861598506617701</v>
      </c>
      <c r="O1008" s="1469">
        <v>1.429139090821036</v>
      </c>
    </row>
    <row r="1009" spans="11:15">
      <c r="K1009" s="1466">
        <v>43066</v>
      </c>
      <c r="L1009" s="1467" t="s">
        <v>2127</v>
      </c>
      <c r="M1009" s="1468">
        <v>2.8333000000000001E-2</v>
      </c>
      <c r="N1009" s="1469">
        <v>1.3865525913322581</v>
      </c>
      <c r="O1009" s="1469">
        <v>1.4298898318768352</v>
      </c>
    </row>
    <row r="1010" spans="11:15">
      <c r="K1010" s="1466">
        <v>43067</v>
      </c>
      <c r="L1010" s="1467" t="s">
        <v>2127</v>
      </c>
      <c r="M1010" s="1468">
        <v>2.8333000000000001E-2</v>
      </c>
      <c r="N1010" s="1469">
        <v>1.3869454432779602</v>
      </c>
      <c r="O1010" s="1469">
        <v>1.4306409673044185</v>
      </c>
    </row>
    <row r="1011" spans="11:15">
      <c r="K1011" s="1466">
        <v>43068</v>
      </c>
      <c r="L1011" s="1467" t="s">
        <v>2127</v>
      </c>
      <c r="M1011" s="1468">
        <v>2.8333000000000001E-2</v>
      </c>
      <c r="N1011" s="1469">
        <v>1.3873384065304042</v>
      </c>
      <c r="O1011" s="1469">
        <v>1.4313924973109531</v>
      </c>
    </row>
    <row r="1012" spans="11:15">
      <c r="K1012" s="1466">
        <v>43069</v>
      </c>
      <c r="L1012" s="1467" t="s">
        <v>2127</v>
      </c>
      <c r="M1012" s="1468">
        <v>2.8333000000000001E-2</v>
      </c>
      <c r="N1012" s="1469">
        <v>1.3877314811211265</v>
      </c>
      <c r="O1012" s="1469">
        <v>1.4321444221037154</v>
      </c>
    </row>
    <row r="1013" spans="11:15">
      <c r="K1013" s="1466">
        <v>43070</v>
      </c>
      <c r="L1013" s="1467" t="s">
        <v>2127</v>
      </c>
      <c r="M1013" s="1468">
        <v>2.8333000000000001E-2</v>
      </c>
      <c r="N1013" s="1469">
        <v>1.3881246670816727</v>
      </c>
      <c r="O1013" s="1469">
        <v>1.4328967418900906</v>
      </c>
    </row>
    <row r="1014" spans="11:15">
      <c r="K1014" s="1466">
        <v>43071</v>
      </c>
      <c r="L1014" s="1467"/>
      <c r="M1014" s="1468">
        <v>0</v>
      </c>
      <c r="N1014" s="1469">
        <v>1.3881246670816727</v>
      </c>
      <c r="O1014" s="1469">
        <v>1.4328967418900906</v>
      </c>
    </row>
    <row r="1015" spans="11:15">
      <c r="K1015" s="1466">
        <v>43072</v>
      </c>
      <c r="L1015" s="1467"/>
      <c r="M1015" s="1468">
        <v>0</v>
      </c>
      <c r="N1015" s="1469">
        <v>1.3881246670816727</v>
      </c>
      <c r="O1015" s="1469">
        <v>1.4328967418900906</v>
      </c>
    </row>
    <row r="1016" spans="11:15">
      <c r="K1016" s="1466">
        <v>43073</v>
      </c>
      <c r="L1016" s="1467" t="s">
        <v>2127</v>
      </c>
      <c r="M1016" s="1468">
        <v>2.8333000000000001E-2</v>
      </c>
      <c r="N1016" s="1469">
        <v>1.388517964443597</v>
      </c>
      <c r="O1016" s="1469">
        <v>1.4336494568775728</v>
      </c>
    </row>
    <row r="1017" spans="11:15">
      <c r="K1017" s="1466">
        <v>43074</v>
      </c>
      <c r="L1017" s="1467" t="s">
        <v>2127</v>
      </c>
      <c r="M1017" s="1468">
        <v>2.8333000000000001E-2</v>
      </c>
      <c r="N1017" s="1469">
        <v>1.3889113732384628</v>
      </c>
      <c r="O1017" s="1469">
        <v>1.4344025672737652</v>
      </c>
    </row>
    <row r="1018" spans="11:15">
      <c r="K1018" s="1466">
        <v>43075</v>
      </c>
      <c r="L1018" s="1467" t="s">
        <v>2127</v>
      </c>
      <c r="M1018" s="1468">
        <v>2.8333000000000001E-2</v>
      </c>
      <c r="N1018" s="1469">
        <v>1.3893048934978425</v>
      </c>
      <c r="O1018" s="1469">
        <v>1.4351560732863797</v>
      </c>
    </row>
    <row r="1019" spans="11:15">
      <c r="K1019" s="1466">
        <v>43076</v>
      </c>
      <c r="L1019" s="1467" t="s">
        <v>2127</v>
      </c>
      <c r="M1019" s="1468">
        <v>2.6481000000000001E-2</v>
      </c>
      <c r="N1019" s="1469">
        <v>1.3896727953266896</v>
      </c>
      <c r="O1019" s="1469">
        <v>1.4359099751232378</v>
      </c>
    </row>
    <row r="1020" spans="11:15">
      <c r="K1020" s="1466">
        <v>43077</v>
      </c>
      <c r="L1020" s="1467" t="s">
        <v>2127</v>
      </c>
      <c r="M1020" s="1468">
        <v>2.6481000000000001E-2</v>
      </c>
      <c r="N1020" s="1469">
        <v>1.39004079457962</v>
      </c>
      <c r="O1020" s="1469">
        <v>1.4366642729922698</v>
      </c>
    </row>
    <row r="1021" spans="11:15">
      <c r="K1021" s="1466">
        <v>43078</v>
      </c>
      <c r="L1021" s="1467"/>
      <c r="M1021" s="1468">
        <v>0</v>
      </c>
      <c r="N1021" s="1469">
        <v>1.39004079457962</v>
      </c>
      <c r="O1021" s="1469">
        <v>1.4366642729922698</v>
      </c>
    </row>
    <row r="1022" spans="11:15">
      <c r="K1022" s="1466">
        <v>43079</v>
      </c>
      <c r="L1022" s="1467"/>
      <c r="M1022" s="1468">
        <v>0</v>
      </c>
      <c r="N1022" s="1469">
        <v>1.39004079457962</v>
      </c>
      <c r="O1022" s="1469">
        <v>1.4366642729922698</v>
      </c>
    </row>
    <row r="1023" spans="11:15">
      <c r="K1023" s="1466">
        <v>43080</v>
      </c>
      <c r="L1023" s="1467" t="s">
        <v>2127</v>
      </c>
      <c r="M1023" s="1468">
        <v>2.6481000000000001E-2</v>
      </c>
      <c r="N1023" s="1469">
        <v>1.3904088912824326</v>
      </c>
      <c r="O1023" s="1469">
        <v>1.4374189671015154</v>
      </c>
    </row>
    <row r="1024" spans="11:15">
      <c r="K1024" s="1466">
        <v>43081</v>
      </c>
      <c r="L1024" s="1467" t="s">
        <v>2127</v>
      </c>
      <c r="M1024" s="1468">
        <v>2.6481000000000001E-2</v>
      </c>
      <c r="N1024" s="1469">
        <v>1.3907770854609331</v>
      </c>
      <c r="O1024" s="1469">
        <v>1.4381740576591235</v>
      </c>
    </row>
    <row r="1025" spans="11:15">
      <c r="K1025" s="1466">
        <v>43082</v>
      </c>
      <c r="L1025" s="1467" t="s">
        <v>2127</v>
      </c>
      <c r="M1025" s="1468">
        <v>2.6481000000000001E-2</v>
      </c>
      <c r="N1025" s="1469">
        <v>1.3911453771409341</v>
      </c>
      <c r="O1025" s="1469">
        <v>1.4389295448733526</v>
      </c>
    </row>
    <row r="1026" spans="11:15">
      <c r="K1026" s="1466">
        <v>43083</v>
      </c>
      <c r="L1026" s="1467" t="s">
        <v>2127</v>
      </c>
      <c r="M1026" s="1468">
        <v>2.6481000000000001E-2</v>
      </c>
      <c r="N1026" s="1469">
        <v>1.3915137663482549</v>
      </c>
      <c r="O1026" s="1469">
        <v>1.43968542895257</v>
      </c>
    </row>
    <row r="1027" spans="11:15">
      <c r="K1027" s="1466">
        <v>43084</v>
      </c>
      <c r="L1027" s="1467" t="s">
        <v>2127</v>
      </c>
      <c r="M1027" s="1468">
        <v>2.6481000000000001E-2</v>
      </c>
      <c r="N1027" s="1469">
        <v>1.3918822531087216</v>
      </c>
      <c r="O1027" s="1469">
        <v>1.4404417101052531</v>
      </c>
    </row>
    <row r="1028" spans="11:15">
      <c r="K1028" s="1466">
        <v>43085</v>
      </c>
      <c r="L1028" s="1467"/>
      <c r="M1028" s="1468">
        <v>0</v>
      </c>
      <c r="N1028" s="1469">
        <v>1.3918822531087216</v>
      </c>
      <c r="O1028" s="1469">
        <v>1.4404417101052531</v>
      </c>
    </row>
    <row r="1029" spans="11:15">
      <c r="K1029" s="1466">
        <v>43086</v>
      </c>
      <c r="L1029" s="1467"/>
      <c r="M1029" s="1468">
        <v>0</v>
      </c>
      <c r="N1029" s="1469">
        <v>1.3918822531087216</v>
      </c>
      <c r="O1029" s="1469">
        <v>1.4404417101052531</v>
      </c>
    </row>
    <row r="1030" spans="11:15">
      <c r="K1030" s="1466">
        <v>43087</v>
      </c>
      <c r="L1030" s="1467" t="s">
        <v>2127</v>
      </c>
      <c r="M1030" s="1468">
        <v>2.6481000000000001E-2</v>
      </c>
      <c r="N1030" s="1469">
        <v>1.3922508374481672</v>
      </c>
      <c r="O1030" s="1469">
        <v>1.4411983885399886</v>
      </c>
    </row>
    <row r="1031" spans="11:15">
      <c r="K1031" s="1466">
        <v>43088</v>
      </c>
      <c r="L1031" s="1467" t="s">
        <v>2127</v>
      </c>
      <c r="M1031" s="1468">
        <v>2.6481000000000001E-2</v>
      </c>
      <c r="N1031" s="1469">
        <v>1.392619519392432</v>
      </c>
      <c r="O1031" s="1469">
        <v>1.4419554644654726</v>
      </c>
    </row>
    <row r="1032" spans="11:15">
      <c r="K1032" s="1466">
        <v>43089</v>
      </c>
      <c r="L1032" s="1467" t="s">
        <v>2127</v>
      </c>
      <c r="M1032" s="1468">
        <v>2.6481000000000001E-2</v>
      </c>
      <c r="N1032" s="1469">
        <v>1.3929882989673623</v>
      </c>
      <c r="O1032" s="1469">
        <v>1.442712938090511</v>
      </c>
    </row>
    <row r="1033" spans="11:15">
      <c r="K1033" s="1466">
        <v>43090</v>
      </c>
      <c r="L1033" s="1467" t="s">
        <v>2127</v>
      </c>
      <c r="M1033" s="1468">
        <v>2.6481000000000001E-2</v>
      </c>
      <c r="N1033" s="1469">
        <v>1.3933571761988119</v>
      </c>
      <c r="O1033" s="1469">
        <v>1.4434708096240194</v>
      </c>
    </row>
    <row r="1034" spans="11:15">
      <c r="K1034" s="1466">
        <v>43091</v>
      </c>
      <c r="L1034" s="1467" t="s">
        <v>2127</v>
      </c>
      <c r="M1034" s="1468">
        <v>2.6481000000000001E-2</v>
      </c>
      <c r="N1034" s="1469">
        <v>1.3937261511126411</v>
      </c>
      <c r="O1034" s="1469">
        <v>1.444229079275023</v>
      </c>
    </row>
    <row r="1035" spans="11:15">
      <c r="K1035" s="1466">
        <v>43092</v>
      </c>
      <c r="L1035" s="1467"/>
      <c r="M1035" s="1468">
        <v>0</v>
      </c>
      <c r="N1035" s="1469">
        <v>1.3937261511126411</v>
      </c>
      <c r="O1035" s="1469">
        <v>1.444229079275023</v>
      </c>
    </row>
    <row r="1036" spans="11:15">
      <c r="K1036" s="1466">
        <v>43093</v>
      </c>
      <c r="L1036" s="1467"/>
      <c r="M1036" s="1468">
        <v>0</v>
      </c>
      <c r="N1036" s="1469">
        <v>1.3937261511126411</v>
      </c>
      <c r="O1036" s="1469">
        <v>1.444229079275023</v>
      </c>
    </row>
    <row r="1037" spans="11:15">
      <c r="K1037" s="1466">
        <v>43094</v>
      </c>
      <c r="L1037" s="1467"/>
      <c r="M1037" s="1468">
        <v>0</v>
      </c>
      <c r="N1037" s="1469">
        <v>1.3937261511126411</v>
      </c>
      <c r="O1037" s="1469">
        <v>1.444229079275023</v>
      </c>
    </row>
    <row r="1038" spans="11:15">
      <c r="K1038" s="1466">
        <v>43095</v>
      </c>
      <c r="L1038" s="1467" t="s">
        <v>2127</v>
      </c>
      <c r="M1038" s="1468">
        <v>2.6481000000000001E-2</v>
      </c>
      <c r="N1038" s="1469">
        <v>1.3940952237347173</v>
      </c>
      <c r="O1038" s="1469">
        <v>1.4449877472526569</v>
      </c>
    </row>
    <row r="1039" spans="11:15">
      <c r="K1039" s="1466">
        <v>43096</v>
      </c>
      <c r="L1039" s="1467" t="s">
        <v>2127</v>
      </c>
      <c r="M1039" s="1468">
        <v>2.6481000000000001E-2</v>
      </c>
      <c r="N1039" s="1469">
        <v>1.3944643940909145</v>
      </c>
      <c r="O1039" s="1469">
        <v>1.4457468137661662</v>
      </c>
    </row>
    <row r="1040" spans="11:15">
      <c r="K1040" s="1466">
        <v>43097</v>
      </c>
      <c r="L1040" s="1467" t="s">
        <v>2127</v>
      </c>
      <c r="M1040" s="1468">
        <v>2.6481000000000001E-2</v>
      </c>
      <c r="N1040" s="1469">
        <v>1.3948336622071138</v>
      </c>
      <c r="O1040" s="1469">
        <v>1.4465062790249057</v>
      </c>
    </row>
    <row r="1041" spans="11:15">
      <c r="K1041" s="1466">
        <v>43098</v>
      </c>
      <c r="L1041" s="1467" t="s">
        <v>2127</v>
      </c>
      <c r="M1041" s="1468">
        <v>2.6481000000000001E-2</v>
      </c>
      <c r="N1041" s="1469">
        <v>1.3952030281092029</v>
      </c>
      <c r="O1041" s="1469">
        <v>1.4472661432383402</v>
      </c>
    </row>
    <row r="1042" spans="11:15">
      <c r="K1042" s="1466">
        <v>43099</v>
      </c>
      <c r="L1042" s="1467"/>
      <c r="M1042" s="1468">
        <v>0</v>
      </c>
      <c r="N1042" s="1469">
        <v>1.3952030281092029</v>
      </c>
      <c r="O1042" s="1469">
        <v>1.4472661432383402</v>
      </c>
    </row>
    <row r="1043" spans="11:15">
      <c r="K1043" s="1466">
        <v>43100</v>
      </c>
      <c r="L1043" s="1467"/>
      <c r="M1043" s="1468">
        <v>0</v>
      </c>
      <c r="N1043" s="1469">
        <v>1.3952030281092029</v>
      </c>
      <c r="O1043" s="1469">
        <v>1.4472661432383402</v>
      </c>
    </row>
    <row r="1044" spans="11:15">
      <c r="K1044" s="1466">
        <v>43101</v>
      </c>
      <c r="L1044" s="1467"/>
      <c r="M1044" s="1468">
        <v>0</v>
      </c>
      <c r="N1044" s="1469">
        <v>1.3952030281092029</v>
      </c>
      <c r="O1044" s="1469">
        <v>1.4472661432383402</v>
      </c>
    </row>
    <row r="1045" spans="11:15">
      <c r="K1045" s="1466">
        <v>43102</v>
      </c>
      <c r="L1045" s="1467" t="s">
        <v>2127</v>
      </c>
      <c r="M1045" s="1468">
        <v>2.6481000000000001E-2</v>
      </c>
      <c r="N1045" s="1469">
        <v>1.3955724918230765</v>
      </c>
      <c r="O1045" s="1469"/>
    </row>
    <row r="1046" spans="11:15">
      <c r="K1046" s="1466">
        <v>43103</v>
      </c>
      <c r="L1046" s="1467" t="s">
        <v>2127</v>
      </c>
      <c r="M1046" s="1468">
        <v>2.6481000000000001E-2</v>
      </c>
      <c r="N1046" s="1469">
        <v>1.3959420533746363</v>
      </c>
      <c r="O1046" s="1469"/>
    </row>
    <row r="1047" spans="11:15">
      <c r="K1047" s="1466">
        <v>43104</v>
      </c>
      <c r="L1047" s="1467" t="s">
        <v>2127</v>
      </c>
      <c r="M1047" s="1468">
        <v>2.6481000000000001E-2</v>
      </c>
      <c r="N1047" s="1469">
        <v>1.3963117127897904</v>
      </c>
      <c r="O1047" s="1469"/>
    </row>
    <row r="1048" spans="11:15">
      <c r="K1048" s="1466">
        <v>43105</v>
      </c>
      <c r="L1048" s="1467" t="s">
        <v>2127</v>
      </c>
      <c r="M1048" s="1468">
        <v>2.6481000000000001E-2</v>
      </c>
      <c r="N1048" s="1469">
        <v>1.3966814700944543</v>
      </c>
      <c r="O1048" s="1469"/>
    </row>
    <row r="1049" spans="11:15">
      <c r="K1049" s="1466">
        <v>43106</v>
      </c>
      <c r="L1049" s="1467"/>
      <c r="M1049" s="1468">
        <v>0</v>
      </c>
      <c r="N1049" s="1469">
        <v>1.3966814700944543</v>
      </c>
      <c r="O1049" s="1469"/>
    </row>
    <row r="1050" spans="11:15">
      <c r="K1050" s="1466">
        <v>43107</v>
      </c>
      <c r="L1050" s="1467"/>
      <c r="M1050" s="1468">
        <v>0</v>
      </c>
      <c r="N1050" s="1469">
        <v>1.3966814700944543</v>
      </c>
      <c r="O1050" s="1469"/>
    </row>
    <row r="1051" spans="11:15">
      <c r="K1051" s="1466">
        <v>43108</v>
      </c>
      <c r="L1051" s="1467" t="s">
        <v>2127</v>
      </c>
      <c r="M1051" s="1468">
        <v>2.6481000000000001E-2</v>
      </c>
      <c r="N1051" s="1469">
        <v>1.39705132531455</v>
      </c>
      <c r="O1051" s="1469"/>
    </row>
    <row r="1052" spans="11:15">
      <c r="K1052" s="1466">
        <v>43109</v>
      </c>
      <c r="L1052" s="1467" t="s">
        <v>2127</v>
      </c>
      <c r="M1052" s="1468">
        <v>2.6481000000000001E-2</v>
      </c>
      <c r="N1052" s="1469">
        <v>1.3974212784760065</v>
      </c>
      <c r="O1052" s="1469"/>
    </row>
    <row r="1053" spans="11:15">
      <c r="K1053" s="1466">
        <v>43110</v>
      </c>
      <c r="L1053" s="1467" t="s">
        <v>2127</v>
      </c>
      <c r="M1053" s="1468">
        <v>2.6481000000000001E-2</v>
      </c>
      <c r="N1053" s="1469">
        <v>1.3977913296047597</v>
      </c>
      <c r="O1053" s="1469"/>
    </row>
    <row r="1054" spans="11:15">
      <c r="K1054" s="1466">
        <v>43111</v>
      </c>
      <c r="L1054" s="1467" t="s">
        <v>2127</v>
      </c>
      <c r="M1054" s="1468">
        <v>2.6481000000000001E-2</v>
      </c>
      <c r="N1054" s="1469">
        <v>1.3981614787267524</v>
      </c>
      <c r="O1054" s="1469"/>
    </row>
    <row r="1055" spans="11:15">
      <c r="K1055" s="1466">
        <v>43112</v>
      </c>
      <c r="L1055" s="1467" t="s">
        <v>2127</v>
      </c>
      <c r="M1055" s="1468">
        <v>2.6481000000000001E-2</v>
      </c>
      <c r="N1055" s="1469">
        <v>1.3985317258679342</v>
      </c>
      <c r="O1055" s="1469"/>
    </row>
    <row r="1056" spans="11:15">
      <c r="K1056" s="1466">
        <v>43113</v>
      </c>
      <c r="L1056" s="1467"/>
      <c r="M1056" s="1468">
        <v>0</v>
      </c>
      <c r="N1056" s="1469">
        <v>1.3985317258679342</v>
      </c>
      <c r="O1056" s="1469"/>
    </row>
    <row r="1057" spans="11:15">
      <c r="K1057" s="1466">
        <v>43114</v>
      </c>
      <c r="L1057" s="1467"/>
      <c r="M1057" s="1468">
        <v>0</v>
      </c>
      <c r="N1057" s="1469">
        <v>1.3985317258679342</v>
      </c>
      <c r="O1057" s="1469"/>
    </row>
    <row r="1058" spans="11:15">
      <c r="K1058" s="1466">
        <v>43115</v>
      </c>
      <c r="L1058" s="1467" t="s">
        <v>2127</v>
      </c>
      <c r="M1058" s="1468">
        <v>2.6481000000000001E-2</v>
      </c>
      <c r="N1058" s="1469">
        <v>1.3989020710542612</v>
      </c>
      <c r="O1058" s="1469"/>
    </row>
    <row r="1059" spans="11:15">
      <c r="K1059" s="1466">
        <v>43116</v>
      </c>
      <c r="L1059" s="1467" t="s">
        <v>2127</v>
      </c>
      <c r="M1059" s="1468">
        <v>2.6481000000000001E-2</v>
      </c>
      <c r="N1059" s="1469">
        <v>1.3992725143116971</v>
      </c>
      <c r="O1059" s="1469"/>
    </row>
    <row r="1060" spans="11:15">
      <c r="K1060" s="1466">
        <v>43117</v>
      </c>
      <c r="L1060" s="1467" t="s">
        <v>2127</v>
      </c>
      <c r="M1060" s="1468">
        <v>2.6481000000000001E-2</v>
      </c>
      <c r="N1060" s="1469">
        <v>1.3996430556662121</v>
      </c>
      <c r="O1060" s="1469"/>
    </row>
    <row r="1061" spans="11:15">
      <c r="K1061" s="1466">
        <v>43118</v>
      </c>
      <c r="L1061" s="1467" t="s">
        <v>2127</v>
      </c>
      <c r="M1061" s="1468">
        <v>2.6481000000000001E-2</v>
      </c>
      <c r="N1061" s="1469">
        <v>1.4000136951437829</v>
      </c>
      <c r="O1061" s="1469"/>
    </row>
    <row r="1062" spans="11:15">
      <c r="K1062" s="1466">
        <v>43119</v>
      </c>
      <c r="L1062" s="1467" t="s">
        <v>2127</v>
      </c>
      <c r="M1062" s="1468">
        <v>2.6481000000000001E-2</v>
      </c>
      <c r="N1062" s="1469">
        <v>1.400384432770394</v>
      </c>
      <c r="O1062" s="1469"/>
    </row>
    <row r="1063" spans="11:15">
      <c r="K1063" s="1466">
        <v>43120</v>
      </c>
      <c r="L1063" s="1467"/>
      <c r="M1063" s="1468">
        <v>0</v>
      </c>
      <c r="N1063" s="1469">
        <v>1.400384432770394</v>
      </c>
      <c r="O1063" s="1469"/>
    </row>
    <row r="1064" spans="11:15">
      <c r="K1064" s="1466">
        <v>43121</v>
      </c>
      <c r="L1064" s="1467"/>
      <c r="M1064" s="1468">
        <v>0</v>
      </c>
      <c r="N1064" s="1469">
        <v>1.400384432770394</v>
      </c>
      <c r="O1064" s="1469"/>
    </row>
    <row r="1065" spans="11:15">
      <c r="K1065" s="1466">
        <v>43122</v>
      </c>
      <c r="L1065" s="1467" t="s">
        <v>2127</v>
      </c>
      <c r="M1065" s="1468">
        <v>2.6481000000000001E-2</v>
      </c>
      <c r="N1065" s="1469">
        <v>1.4007552685720359</v>
      </c>
      <c r="O1065" s="1469"/>
    </row>
    <row r="1066" spans="11:15">
      <c r="K1066" s="1466">
        <v>43123</v>
      </c>
      <c r="L1066" s="1467" t="s">
        <v>2127</v>
      </c>
      <c r="M1066" s="1468">
        <v>2.6481000000000001E-2</v>
      </c>
      <c r="N1066" s="1469">
        <v>1.4011262025747064</v>
      </c>
      <c r="O1066" s="1469"/>
    </row>
    <row r="1067" spans="11:15">
      <c r="K1067" s="1466">
        <v>43124</v>
      </c>
      <c r="L1067" s="1467" t="s">
        <v>2127</v>
      </c>
      <c r="M1067" s="1468">
        <v>2.6481000000000001E-2</v>
      </c>
      <c r="N1067" s="1469">
        <v>1.4014972348044104</v>
      </c>
      <c r="O1067" s="1469"/>
    </row>
    <row r="1068" spans="11:15">
      <c r="K1068" s="1466">
        <v>43125</v>
      </c>
      <c r="L1068" s="1467" t="s">
        <v>2127</v>
      </c>
      <c r="M1068" s="1468">
        <v>2.6481000000000001E-2</v>
      </c>
      <c r="N1068" s="1469">
        <v>1.4018683652871589</v>
      </c>
      <c r="O1068" s="1469"/>
    </row>
    <row r="1069" spans="11:15">
      <c r="K1069" s="1466">
        <v>43126</v>
      </c>
      <c r="L1069" s="1467" t="s">
        <v>2127</v>
      </c>
      <c r="M1069" s="1468">
        <v>2.6481000000000001E-2</v>
      </c>
      <c r="N1069" s="1469">
        <v>1.4022395940489705</v>
      </c>
      <c r="O1069" s="1469"/>
    </row>
    <row r="1070" spans="11:15">
      <c r="K1070" s="1466">
        <v>43127</v>
      </c>
      <c r="L1070" s="1467"/>
      <c r="M1070" s="1468">
        <v>0</v>
      </c>
      <c r="N1070" s="1469">
        <v>1.4022395940489705</v>
      </c>
      <c r="O1070" s="1469"/>
    </row>
    <row r="1071" spans="11:15">
      <c r="K1071" s="1466">
        <v>43128</v>
      </c>
      <c r="L1071" s="1467"/>
      <c r="M1071" s="1468">
        <v>0</v>
      </c>
      <c r="N1071" s="1469">
        <v>1.4022395940489705</v>
      </c>
      <c r="O1071" s="1469"/>
    </row>
    <row r="1072" spans="11:15">
      <c r="K1072" s="1466">
        <v>43129</v>
      </c>
      <c r="L1072" s="1467" t="s">
        <v>2127</v>
      </c>
      <c r="M1072" s="1468">
        <v>2.6481000000000001E-2</v>
      </c>
      <c r="N1072" s="1469">
        <v>1.4026109211158706</v>
      </c>
      <c r="O1072" s="1469"/>
    </row>
    <row r="1073" spans="11:15">
      <c r="K1073" s="1466">
        <v>43130</v>
      </c>
      <c r="L1073" s="1467" t="s">
        <v>2127</v>
      </c>
      <c r="M1073" s="1468">
        <v>2.6481000000000001E-2</v>
      </c>
      <c r="N1073" s="1469">
        <v>1.4029823465138913</v>
      </c>
      <c r="O1073" s="1469"/>
    </row>
    <row r="1074" spans="11:15">
      <c r="K1074" s="1466">
        <v>43131</v>
      </c>
      <c r="L1074" s="1467" t="s">
        <v>2127</v>
      </c>
      <c r="M1074" s="1468">
        <v>2.6481000000000001E-2</v>
      </c>
      <c r="N1074" s="1469">
        <v>1.4033538702690718</v>
      </c>
      <c r="O1074" s="1469"/>
    </row>
    <row r="1075" spans="11:15">
      <c r="K1075" s="1466">
        <v>43132</v>
      </c>
      <c r="L1075" s="1467" t="s">
        <v>2127</v>
      </c>
      <c r="M1075" s="1468">
        <v>2.6481000000000001E-2</v>
      </c>
      <c r="N1075" s="1469">
        <v>1.4037254924074578</v>
      </c>
      <c r="O1075" s="1469"/>
    </row>
    <row r="1076" spans="11:15">
      <c r="K1076" s="1466">
        <v>43133</v>
      </c>
      <c r="L1076" s="1467" t="s">
        <v>2127</v>
      </c>
      <c r="M1076" s="1468">
        <v>2.6481000000000001E-2</v>
      </c>
      <c r="N1076" s="1469">
        <v>1.4040972129551021</v>
      </c>
      <c r="O1076" s="1469"/>
    </row>
    <row r="1077" spans="11:15">
      <c r="K1077" s="1466">
        <v>43134</v>
      </c>
      <c r="L1077" s="1467"/>
      <c r="M1077" s="1468">
        <v>0</v>
      </c>
      <c r="N1077" s="1469">
        <v>1.4040972129551021</v>
      </c>
      <c r="O1077" s="1469"/>
    </row>
    <row r="1078" spans="11:15">
      <c r="K1078" s="1466">
        <v>43135</v>
      </c>
      <c r="L1078" s="1467"/>
      <c r="M1078" s="1468">
        <v>0</v>
      </c>
      <c r="N1078" s="1469">
        <v>1.4040972129551021</v>
      </c>
      <c r="O1078" s="1469"/>
    </row>
    <row r="1079" spans="11:15">
      <c r="K1079" s="1466">
        <v>43136</v>
      </c>
      <c r="L1079" s="1467" t="s">
        <v>2127</v>
      </c>
      <c r="M1079" s="1468">
        <v>2.6481000000000001E-2</v>
      </c>
      <c r="N1079" s="1469">
        <v>1.4044690319380648</v>
      </c>
      <c r="O1079" s="1469"/>
    </row>
    <row r="1080" spans="11:15">
      <c r="K1080" s="1466">
        <v>43137</v>
      </c>
      <c r="L1080" s="1467" t="s">
        <v>2127</v>
      </c>
      <c r="M1080" s="1468">
        <v>2.6481000000000001E-2</v>
      </c>
      <c r="N1080" s="1469">
        <v>1.4048409493824123</v>
      </c>
      <c r="O1080" s="1469"/>
    </row>
    <row r="1081" spans="11:15">
      <c r="K1081" s="1466">
        <v>43138</v>
      </c>
      <c r="L1081" s="1467" t="s">
        <v>2127</v>
      </c>
      <c r="M1081" s="1468">
        <v>2.6481000000000001E-2</v>
      </c>
      <c r="N1081" s="1469">
        <v>1.4052129653142182</v>
      </c>
      <c r="O1081" s="1469"/>
    </row>
    <row r="1082" spans="11:15">
      <c r="K1082" s="1466">
        <v>43139</v>
      </c>
      <c r="L1082" s="1467" t="s">
        <v>2127</v>
      </c>
      <c r="M1082" s="1468">
        <v>2.5551999999999998E-2</v>
      </c>
      <c r="N1082" s="1469">
        <v>1.4055720253311155</v>
      </c>
      <c r="O1082" s="1469"/>
    </row>
    <row r="1083" spans="11:15">
      <c r="K1083" s="1466">
        <v>43140</v>
      </c>
      <c r="L1083" s="1467" t="s">
        <v>2127</v>
      </c>
      <c r="M1083" s="1468">
        <v>2.5551999999999998E-2</v>
      </c>
      <c r="N1083" s="1469">
        <v>1.4059311770950282</v>
      </c>
      <c r="O1083" s="1469"/>
    </row>
    <row r="1084" spans="11:15">
      <c r="K1084" s="1466">
        <v>43141</v>
      </c>
      <c r="L1084" s="1467"/>
      <c r="M1084" s="1468">
        <v>0</v>
      </c>
      <c r="N1084" s="1469">
        <v>1.4059311770950282</v>
      </c>
      <c r="O1084" s="1469"/>
    </row>
    <row r="1085" spans="11:15">
      <c r="K1085" s="1466">
        <v>43142</v>
      </c>
      <c r="L1085" s="1467"/>
      <c r="M1085" s="1468">
        <v>0</v>
      </c>
      <c r="N1085" s="1469">
        <v>1.4059311770950282</v>
      </c>
      <c r="O1085" s="1469"/>
    </row>
    <row r="1086" spans="11:15">
      <c r="K1086" s="1466">
        <v>43143</v>
      </c>
      <c r="L1086" s="1467"/>
      <c r="M1086" s="1468">
        <v>0</v>
      </c>
      <c r="N1086" s="1469">
        <v>1.4059311770950282</v>
      </c>
      <c r="O1086" s="1469"/>
    </row>
    <row r="1087" spans="11:15">
      <c r="K1087" s="1466">
        <v>43144</v>
      </c>
      <c r="L1087" s="1467"/>
      <c r="M1087" s="1468">
        <v>0</v>
      </c>
      <c r="N1087" s="1469">
        <v>1.4059311770950282</v>
      </c>
      <c r="O1087" s="1469"/>
    </row>
    <row r="1088" spans="11:15">
      <c r="K1088" s="1466">
        <v>43145</v>
      </c>
      <c r="L1088" s="1467" t="s">
        <v>2127</v>
      </c>
      <c r="M1088" s="1468">
        <v>2.5551999999999998E-2</v>
      </c>
      <c r="N1088" s="1469">
        <v>1.4062904206293996</v>
      </c>
      <c r="O1088" s="1469"/>
    </row>
    <row r="1089" spans="11:15">
      <c r="K1089" s="1466">
        <v>43146</v>
      </c>
      <c r="L1089" s="1467" t="s">
        <v>2127</v>
      </c>
      <c r="M1089" s="1468">
        <v>2.5551999999999998E-2</v>
      </c>
      <c r="N1089" s="1469">
        <v>1.4066497559576789</v>
      </c>
      <c r="O1089" s="1469"/>
    </row>
    <row r="1090" spans="11:15">
      <c r="K1090" s="1466">
        <v>43147</v>
      </c>
      <c r="L1090" s="1467" t="s">
        <v>2127</v>
      </c>
      <c r="M1090" s="1468">
        <v>2.5551999999999998E-2</v>
      </c>
      <c r="N1090" s="1469">
        <v>1.4070091831033213</v>
      </c>
      <c r="O1090" s="1469"/>
    </row>
    <row r="1091" spans="11:15">
      <c r="K1091" s="1466">
        <v>43148</v>
      </c>
      <c r="L1091" s="1467"/>
      <c r="M1091" s="1468">
        <v>0</v>
      </c>
      <c r="N1091" s="1469">
        <v>1.4070091831033213</v>
      </c>
      <c r="O1091" s="1469"/>
    </row>
    <row r="1092" spans="11:15">
      <c r="K1092" s="1466">
        <v>43149</v>
      </c>
      <c r="L1092" s="1467"/>
      <c r="M1092" s="1468">
        <v>0</v>
      </c>
      <c r="N1092" s="1469">
        <v>1.4070091831033213</v>
      </c>
      <c r="O1092" s="1469"/>
    </row>
    <row r="1093" spans="11:15">
      <c r="K1093" s="1466">
        <v>43150</v>
      </c>
      <c r="L1093" s="1467" t="s">
        <v>2127</v>
      </c>
      <c r="M1093" s="1468">
        <v>2.5551999999999998E-2</v>
      </c>
      <c r="N1093" s="1469">
        <v>1.407368702089788</v>
      </c>
      <c r="O1093" s="1469"/>
    </row>
    <row r="1094" spans="11:15">
      <c r="K1094" s="1466">
        <v>43151</v>
      </c>
      <c r="L1094" s="1467" t="s">
        <v>2127</v>
      </c>
      <c r="M1094" s="1468">
        <v>2.5551999999999998E-2</v>
      </c>
      <c r="N1094" s="1469">
        <v>1.407728312940546</v>
      </c>
      <c r="O1094" s="1469"/>
    </row>
    <row r="1095" spans="11:15">
      <c r="K1095" s="1466">
        <v>43152</v>
      </c>
      <c r="L1095" s="1467" t="s">
        <v>2127</v>
      </c>
      <c r="M1095" s="1468">
        <v>2.5551999999999998E-2</v>
      </c>
      <c r="N1095" s="1469">
        <v>1.4080880156790687</v>
      </c>
      <c r="O1095" s="1469"/>
    </row>
    <row r="1096" spans="11:15">
      <c r="K1096" s="1466">
        <v>43153</v>
      </c>
      <c r="L1096" s="1467" t="s">
        <v>2127</v>
      </c>
      <c r="M1096" s="1468">
        <v>2.5551999999999998E-2</v>
      </c>
      <c r="N1096" s="1469">
        <v>1.4084478103288351</v>
      </c>
      <c r="O1096" s="1469"/>
    </row>
    <row r="1097" spans="11:15">
      <c r="K1097" s="1466">
        <v>43154</v>
      </c>
      <c r="L1097" s="1467" t="s">
        <v>2127</v>
      </c>
      <c r="M1097" s="1468">
        <v>2.5551999999999998E-2</v>
      </c>
      <c r="N1097" s="1469">
        <v>1.4088076969133305</v>
      </c>
      <c r="O1097" s="1469"/>
    </row>
    <row r="1098" spans="11:15">
      <c r="K1098" s="1466">
        <v>43155</v>
      </c>
      <c r="L1098" s="1467"/>
      <c r="M1098" s="1468">
        <v>0</v>
      </c>
      <c r="N1098" s="1469">
        <v>1.4088076969133305</v>
      </c>
      <c r="O1098" s="1469"/>
    </row>
    <row r="1099" spans="11:15">
      <c r="K1099" s="1466">
        <v>43156</v>
      </c>
      <c r="L1099" s="1467"/>
      <c r="M1099" s="1468">
        <v>0</v>
      </c>
      <c r="N1099" s="1469">
        <v>1.4088076969133305</v>
      </c>
      <c r="O1099" s="1469"/>
    </row>
    <row r="1100" spans="11:15">
      <c r="K1100" s="1466">
        <v>43157</v>
      </c>
      <c r="L1100" s="1467" t="s">
        <v>2127</v>
      </c>
      <c r="M1100" s="1468">
        <v>2.5551999999999998E-2</v>
      </c>
      <c r="N1100" s="1469">
        <v>1.4091676754560458</v>
      </c>
      <c r="O1100" s="1469"/>
    </row>
    <row r="1101" spans="11:15">
      <c r="K1101" s="1466">
        <v>43158</v>
      </c>
      <c r="L1101" s="1467" t="s">
        <v>2127</v>
      </c>
      <c r="M1101" s="1468">
        <v>2.5551999999999998E-2</v>
      </c>
      <c r="N1101" s="1469">
        <v>1.4095277459804785</v>
      </c>
      <c r="O1101" s="1469"/>
    </row>
    <row r="1102" spans="11:15">
      <c r="K1102" s="1466">
        <v>43159</v>
      </c>
      <c r="L1102" s="1467" t="s">
        <v>2127</v>
      </c>
      <c r="M1102" s="1468">
        <v>2.5551999999999998E-2</v>
      </c>
      <c r="N1102" s="1469">
        <v>1.4098879085101315</v>
      </c>
      <c r="O1102" s="1469"/>
    </row>
    <row r="1103" spans="11:15">
      <c r="K1103" s="1466">
        <v>43160</v>
      </c>
      <c r="L1103" s="1467" t="s">
        <v>2127</v>
      </c>
      <c r="M1103" s="1468">
        <v>2.5551999999999998E-2</v>
      </c>
      <c r="N1103" s="1469">
        <v>1.410248163068514</v>
      </c>
      <c r="O1103" s="1469"/>
    </row>
    <row r="1104" spans="11:15">
      <c r="K1104" s="1466">
        <v>43161</v>
      </c>
      <c r="L1104" s="1467" t="s">
        <v>2127</v>
      </c>
      <c r="M1104" s="1468">
        <v>2.5551999999999998E-2</v>
      </c>
      <c r="N1104" s="1469">
        <v>1.4106085096791414</v>
      </c>
      <c r="O1104" s="1469"/>
    </row>
    <row r="1105" spans="11:15">
      <c r="K1105" s="1466">
        <v>43162</v>
      </c>
      <c r="L1105" s="1467"/>
      <c r="M1105" s="1468">
        <v>0</v>
      </c>
      <c r="N1105" s="1469">
        <v>1.4106085096791414</v>
      </c>
      <c r="O1105" s="1469"/>
    </row>
    <row r="1106" spans="11:15">
      <c r="K1106" s="1466">
        <v>43163</v>
      </c>
      <c r="L1106" s="1467"/>
      <c r="M1106" s="1468">
        <v>0</v>
      </c>
      <c r="N1106" s="1469">
        <v>1.4106085096791414</v>
      </c>
      <c r="O1106" s="1469"/>
    </row>
    <row r="1107" spans="11:15">
      <c r="K1107" s="1466">
        <v>43164</v>
      </c>
      <c r="L1107" s="1467" t="s">
        <v>2127</v>
      </c>
      <c r="M1107" s="1468">
        <v>2.5551999999999998E-2</v>
      </c>
      <c r="N1107" s="1469">
        <v>1.4109689483655348</v>
      </c>
      <c r="O1107" s="1469"/>
    </row>
    <row r="1108" spans="11:15">
      <c r="K1108" s="1466">
        <v>43165</v>
      </c>
      <c r="L1108" s="1467" t="s">
        <v>2127</v>
      </c>
      <c r="M1108" s="1468">
        <v>2.5551999999999998E-2</v>
      </c>
      <c r="N1108" s="1469">
        <v>1.4113294791512212</v>
      </c>
      <c r="O1108" s="1469"/>
    </row>
    <row r="1109" spans="11:15">
      <c r="K1109" s="1466">
        <v>43166</v>
      </c>
      <c r="L1109" s="1467" t="s">
        <v>2127</v>
      </c>
      <c r="M1109" s="1468">
        <v>2.5551999999999998E-2</v>
      </c>
      <c r="N1109" s="1469">
        <v>1.4116901020597341</v>
      </c>
      <c r="O1109" s="1469"/>
    </row>
    <row r="1110" spans="11:15">
      <c r="K1110" s="1466">
        <v>43167</v>
      </c>
      <c r="L1110" s="1467" t="s">
        <v>2127</v>
      </c>
      <c r="M1110" s="1468">
        <v>2.5551999999999998E-2</v>
      </c>
      <c r="N1110" s="1469">
        <v>1.4120508171146124</v>
      </c>
      <c r="O1110" s="1469"/>
    </row>
    <row r="1111" spans="11:15">
      <c r="K1111" s="1466">
        <v>43168</v>
      </c>
      <c r="L1111" s="1467" t="s">
        <v>2127</v>
      </c>
      <c r="M1111" s="1468">
        <v>2.5551999999999998E-2</v>
      </c>
      <c r="N1111" s="1469">
        <v>1.4124116243394016</v>
      </c>
      <c r="O1111" s="1469"/>
    </row>
    <row r="1112" spans="11:15">
      <c r="K1112" s="1466">
        <v>43169</v>
      </c>
      <c r="L1112" s="1467"/>
      <c r="M1112" s="1468">
        <v>0</v>
      </c>
      <c r="N1112" s="1469">
        <v>1.4124116243394016</v>
      </c>
      <c r="O1112" s="1469"/>
    </row>
    <row r="1113" spans="11:15">
      <c r="K1113" s="1466">
        <v>43170</v>
      </c>
      <c r="L1113" s="1467"/>
      <c r="M1113" s="1468">
        <v>0</v>
      </c>
      <c r="N1113" s="1469">
        <v>1.4124116243394016</v>
      </c>
      <c r="O1113" s="1469"/>
    </row>
    <row r="1114" spans="11:15">
      <c r="K1114" s="1466">
        <v>43171</v>
      </c>
      <c r="L1114" s="1467" t="s">
        <v>2127</v>
      </c>
      <c r="M1114" s="1468">
        <v>2.5551999999999998E-2</v>
      </c>
      <c r="N1114" s="1469">
        <v>1.4127725237576529</v>
      </c>
      <c r="O1114" s="1469"/>
    </row>
    <row r="1115" spans="11:15">
      <c r="K1115" s="1466">
        <v>43172</v>
      </c>
      <c r="L1115" s="1467" t="s">
        <v>2127</v>
      </c>
      <c r="M1115" s="1468">
        <v>2.5551999999999998E-2</v>
      </c>
      <c r="N1115" s="1469">
        <v>1.4131335153929236</v>
      </c>
      <c r="O1115" s="1469"/>
    </row>
    <row r="1116" spans="11:15">
      <c r="K1116" s="1466">
        <v>43173</v>
      </c>
      <c r="L1116" s="1467" t="s">
        <v>2127</v>
      </c>
      <c r="M1116" s="1468">
        <v>2.5551999999999998E-2</v>
      </c>
      <c r="N1116" s="1469">
        <v>1.4134945992687769</v>
      </c>
      <c r="O1116" s="1469"/>
    </row>
    <row r="1117" spans="11:15">
      <c r="K1117" s="1466">
        <v>43174</v>
      </c>
      <c r="L1117" s="1467" t="s">
        <v>2127</v>
      </c>
      <c r="M1117" s="1468">
        <v>2.5551999999999998E-2</v>
      </c>
      <c r="N1117" s="1469">
        <v>1.4138557754087822</v>
      </c>
      <c r="O1117" s="1469"/>
    </row>
    <row r="1118" spans="11:15">
      <c r="K1118" s="1466">
        <v>43175</v>
      </c>
      <c r="L1118" s="1467" t="s">
        <v>2127</v>
      </c>
      <c r="M1118" s="1468">
        <v>2.5551999999999998E-2</v>
      </c>
      <c r="N1118" s="1469">
        <v>1.4142170438365147</v>
      </c>
      <c r="O1118" s="1469"/>
    </row>
    <row r="1119" spans="11:15">
      <c r="K1119" s="1466">
        <v>43176</v>
      </c>
      <c r="L1119" s="1467"/>
      <c r="M1119" s="1468">
        <v>0</v>
      </c>
      <c r="N1119" s="1469">
        <v>1.4142170438365147</v>
      </c>
      <c r="O1119" s="1469"/>
    </row>
    <row r="1120" spans="11:15">
      <c r="K1120" s="1466">
        <v>43177</v>
      </c>
      <c r="L1120" s="1467"/>
      <c r="M1120" s="1468">
        <v>0</v>
      </c>
      <c r="N1120" s="1469">
        <v>1.4142170438365147</v>
      </c>
      <c r="O1120" s="1469"/>
    </row>
    <row r="1121" spans="11:15">
      <c r="K1121" s="1466">
        <v>43178</v>
      </c>
      <c r="L1121" s="1467" t="s">
        <v>2127</v>
      </c>
      <c r="M1121" s="1468">
        <v>2.5551999999999998E-2</v>
      </c>
      <c r="N1121" s="1469">
        <v>1.4145784045755558</v>
      </c>
      <c r="O1121" s="1469"/>
    </row>
    <row r="1122" spans="11:15">
      <c r="K1122" s="1466">
        <v>43179</v>
      </c>
      <c r="L1122" s="1467" t="s">
        <v>2127</v>
      </c>
      <c r="M1122" s="1468">
        <v>2.5551999999999998E-2</v>
      </c>
      <c r="N1122" s="1469">
        <v>1.4149398576494931</v>
      </c>
      <c r="O1122" s="1469"/>
    </row>
    <row r="1123" spans="11:15">
      <c r="K1123" s="1466">
        <v>43180</v>
      </c>
      <c r="L1123" s="1467" t="s">
        <v>2127</v>
      </c>
      <c r="M1123" s="1468">
        <v>2.5551999999999998E-2</v>
      </c>
      <c r="N1123" s="1469">
        <v>1.4153014030819198</v>
      </c>
      <c r="O1123" s="1469"/>
    </row>
    <row r="1124" spans="11:15">
      <c r="K1124" s="1466">
        <v>43181</v>
      </c>
      <c r="L1124" s="1467" t="s">
        <v>2127</v>
      </c>
      <c r="M1124" s="1468">
        <v>2.462E-2</v>
      </c>
      <c r="N1124" s="1469">
        <v>1.4156498502873587</v>
      </c>
      <c r="O1124" s="1469"/>
    </row>
    <row r="1125" spans="11:15">
      <c r="K1125" s="1466">
        <v>43182</v>
      </c>
      <c r="L1125" s="1467" t="s">
        <v>2127</v>
      </c>
      <c r="M1125" s="1468">
        <v>2.462E-2</v>
      </c>
      <c r="N1125" s="1469">
        <v>1.4159983832804997</v>
      </c>
      <c r="O1125" s="1469"/>
    </row>
    <row r="1126" spans="11:15">
      <c r="K1126" s="1466">
        <v>43183</v>
      </c>
      <c r="L1126" s="1467"/>
      <c r="M1126" s="1468">
        <v>0</v>
      </c>
      <c r="N1126" s="1469">
        <v>1.4159983832804997</v>
      </c>
      <c r="O1126" s="1469"/>
    </row>
    <row r="1127" spans="11:15">
      <c r="K1127" s="1466">
        <v>43184</v>
      </c>
      <c r="L1127" s="1467"/>
      <c r="M1127" s="1468">
        <v>0</v>
      </c>
      <c r="N1127" s="1469">
        <v>1.4159983832804997</v>
      </c>
      <c r="O1127" s="1469"/>
    </row>
    <row r="1128" spans="11:15">
      <c r="K1128" s="1466">
        <v>43185</v>
      </c>
      <c r="L1128" s="1467" t="s">
        <v>2127</v>
      </c>
      <c r="M1128" s="1468">
        <v>2.462E-2</v>
      </c>
      <c r="N1128" s="1469">
        <v>1.4163470020824633</v>
      </c>
      <c r="O1128" s="1469"/>
    </row>
    <row r="1129" spans="11:15">
      <c r="K1129" s="1466">
        <v>43186</v>
      </c>
      <c r="L1129" s="1467" t="s">
        <v>2127</v>
      </c>
      <c r="M1129" s="1468">
        <v>2.462E-2</v>
      </c>
      <c r="N1129" s="1469">
        <v>1.4166957067143762</v>
      </c>
      <c r="O1129" s="1469"/>
    </row>
    <row r="1130" spans="11:15">
      <c r="K1130" s="1466">
        <v>43187</v>
      </c>
      <c r="L1130" s="1467" t="s">
        <v>2127</v>
      </c>
      <c r="M1130" s="1468">
        <v>2.462E-2</v>
      </c>
      <c r="N1130" s="1469">
        <v>1.4170444971973695</v>
      </c>
      <c r="O1130" s="1469"/>
    </row>
    <row r="1131" spans="11:15">
      <c r="K1131" s="1466">
        <v>43188</v>
      </c>
      <c r="L1131" s="1467" t="s">
        <v>2127</v>
      </c>
      <c r="M1131" s="1468">
        <v>2.462E-2</v>
      </c>
      <c r="N1131" s="1469">
        <v>1.4173933735525797</v>
      </c>
      <c r="O1131" s="1469"/>
    </row>
    <row r="1132" spans="11:15">
      <c r="K1132" s="1466">
        <v>43189</v>
      </c>
      <c r="L1132" s="1467"/>
      <c r="M1132" s="1468">
        <v>0</v>
      </c>
      <c r="N1132" s="1469">
        <v>1.4173933735525797</v>
      </c>
      <c r="O1132" s="1469"/>
    </row>
    <row r="1133" spans="11:15">
      <c r="K1133" s="1466">
        <v>43190</v>
      </c>
      <c r="L1133" s="1467"/>
      <c r="M1133" s="1468">
        <v>0</v>
      </c>
      <c r="N1133" s="1469">
        <v>1.4173933735525797</v>
      </c>
      <c r="O1133" s="1469"/>
    </row>
    <row r="1134" spans="11:15">
      <c r="K1134" s="1466">
        <v>43191</v>
      </c>
      <c r="L1134" s="1467"/>
      <c r="M1134" s="1468">
        <v>0</v>
      </c>
      <c r="N1134" s="1469">
        <v>1.4173933735525797</v>
      </c>
      <c r="O1134" s="1469"/>
    </row>
    <row r="1135" spans="11:15">
      <c r="K1135" s="1466">
        <v>43192</v>
      </c>
      <c r="L1135" s="1467" t="s">
        <v>2127</v>
      </c>
      <c r="M1135" s="1468">
        <v>2.462E-2</v>
      </c>
      <c r="N1135" s="1469">
        <v>1.4177423358011485</v>
      </c>
      <c r="O1135" s="1469"/>
    </row>
    <row r="1136" spans="11:15">
      <c r="K1136" s="1466">
        <v>43193</v>
      </c>
      <c r="L1136" s="1467" t="s">
        <v>2127</v>
      </c>
      <c r="M1136" s="1468">
        <v>2.462E-2</v>
      </c>
      <c r="N1136" s="1469">
        <v>1.4180913839642229</v>
      </c>
      <c r="O1136" s="1469"/>
    </row>
    <row r="1137" spans="11:15">
      <c r="K1137" s="1466">
        <v>43194</v>
      </c>
      <c r="L1137" s="1467" t="s">
        <v>2127</v>
      </c>
      <c r="M1137" s="1468">
        <v>2.462E-2</v>
      </c>
      <c r="N1137" s="1469">
        <v>1.4184405180629549</v>
      </c>
      <c r="O1137" s="1469"/>
    </row>
    <row r="1138" spans="11:15">
      <c r="K1138" s="1466">
        <v>43195</v>
      </c>
      <c r="L1138" s="1467" t="s">
        <v>2127</v>
      </c>
      <c r="M1138" s="1468">
        <v>2.462E-2</v>
      </c>
      <c r="N1138" s="1469">
        <v>1.4187897381185022</v>
      </c>
      <c r="O1138" s="1469"/>
    </row>
    <row r="1139" spans="11:15">
      <c r="K1139" s="1466">
        <v>43196</v>
      </c>
      <c r="L1139" s="1467" t="s">
        <v>2127</v>
      </c>
      <c r="M1139" s="1468">
        <v>2.462E-2</v>
      </c>
      <c r="N1139" s="1469">
        <v>1.4191390441520271</v>
      </c>
      <c r="O1139" s="1469"/>
    </row>
    <row r="1140" spans="11:15">
      <c r="K1140" s="1466">
        <v>43197</v>
      </c>
      <c r="L1140" s="1467"/>
      <c r="M1140" s="1468">
        <v>0</v>
      </c>
      <c r="N1140" s="1469">
        <v>1.4191390441520271</v>
      </c>
      <c r="O1140" s="1469"/>
    </row>
    <row r="1141" spans="11:15">
      <c r="K1141" s="1466">
        <v>43198</v>
      </c>
      <c r="L1141" s="1467"/>
      <c r="M1141" s="1468">
        <v>0</v>
      </c>
      <c r="N1141" s="1469">
        <v>1.4191390441520271</v>
      </c>
      <c r="O1141" s="1469"/>
    </row>
    <row r="1142" spans="11:15">
      <c r="K1142" s="1466">
        <v>43199</v>
      </c>
      <c r="L1142" s="1467" t="s">
        <v>2127</v>
      </c>
      <c r="M1142" s="1468">
        <v>2.462E-2</v>
      </c>
      <c r="N1142" s="1469">
        <v>1.4194884361846973</v>
      </c>
      <c r="O1142" s="1469"/>
    </row>
    <row r="1143" spans="11:15">
      <c r="K1143" s="1466">
        <v>43200</v>
      </c>
      <c r="L1143" s="1467" t="s">
        <v>2127</v>
      </c>
      <c r="M1143" s="1468">
        <v>2.462E-2</v>
      </c>
      <c r="N1143" s="1469">
        <v>1.419837914237686</v>
      </c>
      <c r="O1143" s="1469"/>
    </row>
    <row r="1144" spans="11:15">
      <c r="K1144" s="1466">
        <v>43201</v>
      </c>
      <c r="L1144" s="1467" t="s">
        <v>2127</v>
      </c>
      <c r="M1144" s="1468">
        <v>2.462E-2</v>
      </c>
      <c r="N1144" s="1469">
        <v>1.4201874783321715</v>
      </c>
      <c r="O1144" s="1469"/>
    </row>
    <row r="1145" spans="11:15">
      <c r="K1145" s="1466">
        <v>43202</v>
      </c>
      <c r="L1145" s="1467" t="s">
        <v>2127</v>
      </c>
      <c r="M1145" s="1468">
        <v>2.462E-2</v>
      </c>
      <c r="N1145" s="1469">
        <v>1.4205371284893371</v>
      </c>
      <c r="O1145" s="1469"/>
    </row>
    <row r="1146" spans="11:15">
      <c r="K1146" s="1466">
        <v>43203</v>
      </c>
      <c r="L1146" s="1467" t="s">
        <v>2127</v>
      </c>
      <c r="M1146" s="1468">
        <v>2.462E-2</v>
      </c>
      <c r="N1146" s="1469">
        <v>1.4208868647303714</v>
      </c>
      <c r="O1146" s="1469"/>
    </row>
    <row r="1147" spans="11:15">
      <c r="K1147" s="1466">
        <v>43204</v>
      </c>
      <c r="L1147" s="1467"/>
      <c r="M1147" s="1468">
        <v>0</v>
      </c>
      <c r="N1147" s="1469">
        <v>1.4208868647303714</v>
      </c>
      <c r="O1147" s="1469"/>
    </row>
    <row r="1148" spans="11:15">
      <c r="K1148" s="1466">
        <v>43205</v>
      </c>
      <c r="L1148" s="1467"/>
      <c r="M1148" s="1468">
        <v>0</v>
      </c>
      <c r="N1148" s="1469">
        <v>1.4208868647303714</v>
      </c>
      <c r="O1148" s="1469"/>
    </row>
    <row r="1149" spans="11:15">
      <c r="K1149" s="1466">
        <v>43206</v>
      </c>
      <c r="L1149" s="1467" t="s">
        <v>2127</v>
      </c>
      <c r="M1149" s="1468">
        <v>2.462E-2</v>
      </c>
      <c r="N1149" s="1469">
        <v>1.4212366870764681</v>
      </c>
      <c r="O1149" s="1469"/>
    </row>
    <row r="1150" spans="11:15">
      <c r="K1150" s="1466">
        <v>43207</v>
      </c>
      <c r="L1150" s="1467" t="s">
        <v>2127</v>
      </c>
      <c r="M1150" s="1468">
        <v>2.462E-2</v>
      </c>
      <c r="N1150" s="1469">
        <v>1.4215865955488265</v>
      </c>
      <c r="O1150" s="1469"/>
    </row>
    <row r="1151" spans="11:15">
      <c r="K1151" s="1466">
        <v>43208</v>
      </c>
      <c r="L1151" s="1467" t="s">
        <v>2127</v>
      </c>
      <c r="M1151" s="1468">
        <v>2.462E-2</v>
      </c>
      <c r="N1151" s="1469">
        <v>1.4219365901686507</v>
      </c>
      <c r="O1151" s="1469"/>
    </row>
    <row r="1152" spans="11:15">
      <c r="K1152" s="1466">
        <v>43209</v>
      </c>
      <c r="L1152" s="1467" t="s">
        <v>2127</v>
      </c>
      <c r="M1152" s="1468">
        <v>2.462E-2</v>
      </c>
      <c r="N1152" s="1469">
        <v>1.4222866709571504</v>
      </c>
      <c r="O1152" s="1469"/>
    </row>
    <row r="1153" spans="11:15">
      <c r="K1153" s="1466">
        <v>43210</v>
      </c>
      <c r="L1153" s="1467" t="s">
        <v>2127</v>
      </c>
      <c r="M1153" s="1468">
        <v>2.462E-2</v>
      </c>
      <c r="N1153" s="1469">
        <v>1.4226368379355403</v>
      </c>
      <c r="O1153" s="1469"/>
    </row>
    <row r="1154" spans="11:15">
      <c r="K1154" s="1466">
        <v>43211</v>
      </c>
      <c r="L1154" s="1467"/>
      <c r="M1154" s="1468">
        <v>0</v>
      </c>
      <c r="N1154" s="1469">
        <v>1.4226368379355403</v>
      </c>
      <c r="O1154" s="1469"/>
    </row>
    <row r="1155" spans="11:15">
      <c r="K1155" s="1466">
        <v>43212</v>
      </c>
      <c r="L1155" s="1467"/>
      <c r="M1155" s="1468">
        <v>0</v>
      </c>
      <c r="N1155" s="1469">
        <v>1.4226368379355403</v>
      </c>
      <c r="O1155" s="1469"/>
    </row>
    <row r="1156" spans="11:15">
      <c r="K1156" s="1466">
        <v>43213</v>
      </c>
      <c r="L1156" s="1467" t="s">
        <v>2127</v>
      </c>
      <c r="M1156" s="1468">
        <v>2.462E-2</v>
      </c>
      <c r="N1156" s="1469">
        <v>1.4229870911250402</v>
      </c>
      <c r="O1156" s="1469"/>
    </row>
    <row r="1157" spans="11:15">
      <c r="K1157" s="1466">
        <v>43214</v>
      </c>
      <c r="L1157" s="1467" t="s">
        <v>2127</v>
      </c>
      <c r="M1157" s="1468">
        <v>2.462E-2</v>
      </c>
      <c r="N1157" s="1469">
        <v>1.4233374305468753</v>
      </c>
      <c r="O1157" s="1469"/>
    </row>
    <row r="1158" spans="11:15">
      <c r="K1158" s="1466">
        <v>43215</v>
      </c>
      <c r="L1158" s="1467" t="s">
        <v>2127</v>
      </c>
      <c r="M1158" s="1468">
        <v>2.462E-2</v>
      </c>
      <c r="N1158" s="1469">
        <v>1.4236878562222761</v>
      </c>
      <c r="O1158" s="1469"/>
    </row>
    <row r="1159" spans="11:15">
      <c r="K1159" s="1466">
        <v>43216</v>
      </c>
      <c r="L1159" s="1467" t="s">
        <v>2127</v>
      </c>
      <c r="M1159" s="1468">
        <v>2.462E-2</v>
      </c>
      <c r="N1159" s="1469">
        <v>1.4240383681724782</v>
      </c>
      <c r="O1159" s="1469"/>
    </row>
    <row r="1160" spans="11:15">
      <c r="K1160" s="1466">
        <v>43217</v>
      </c>
      <c r="L1160" s="1467" t="s">
        <v>2127</v>
      </c>
      <c r="M1160" s="1468">
        <v>2.462E-2</v>
      </c>
      <c r="N1160" s="1469">
        <v>1.4243889664187224</v>
      </c>
      <c r="O1160" s="1469"/>
    </row>
    <row r="1161" spans="11:15">
      <c r="K1161" s="1466">
        <v>43218</v>
      </c>
      <c r="L1161" s="1467"/>
      <c r="M1161" s="1468">
        <v>0</v>
      </c>
      <c r="N1161" s="1469">
        <v>1.4243889664187224</v>
      </c>
      <c r="O1161" s="1469"/>
    </row>
    <row r="1162" spans="11:15">
      <c r="K1162" s="1466">
        <v>43219</v>
      </c>
      <c r="L1162" s="1467"/>
      <c r="M1162" s="1468">
        <v>0</v>
      </c>
      <c r="N1162" s="1469">
        <v>1.4243889664187224</v>
      </c>
      <c r="O1162" s="1469"/>
    </row>
    <row r="1163" spans="11:15">
      <c r="K1163" s="1466">
        <v>43220</v>
      </c>
      <c r="L1163" s="1467" t="s">
        <v>2127</v>
      </c>
      <c r="M1163" s="1468">
        <v>2.462E-2</v>
      </c>
      <c r="N1163" s="1469">
        <v>1.4247396509822547</v>
      </c>
      <c r="O1163" s="1469"/>
    </row>
    <row r="1164" spans="11:15">
      <c r="K1164" s="1466">
        <v>43221</v>
      </c>
      <c r="L1164" s="1467"/>
      <c r="M1164" s="1468">
        <v>0</v>
      </c>
      <c r="N1164" s="1469">
        <v>1.4247396509822547</v>
      </c>
      <c r="O1164" s="1469"/>
    </row>
    <row r="1165" spans="11:15">
      <c r="K1165" s="1466">
        <v>43222</v>
      </c>
      <c r="L1165" s="1467" t="s">
        <v>2127</v>
      </c>
      <c r="M1165" s="1468">
        <v>2.462E-2</v>
      </c>
      <c r="N1165" s="1469">
        <v>1.4250904218843268</v>
      </c>
      <c r="O1165" s="1469"/>
    </row>
    <row r="1166" spans="11:15">
      <c r="K1166" s="1466">
        <v>43223</v>
      </c>
      <c r="L1166" s="1467" t="s">
        <v>2127</v>
      </c>
      <c r="M1166" s="1468">
        <v>2.462E-2</v>
      </c>
      <c r="N1166" s="1469">
        <v>1.4254412791461948</v>
      </c>
      <c r="O1166" s="1469"/>
    </row>
    <row r="1167" spans="11:15">
      <c r="K1167" s="1466">
        <v>43224</v>
      </c>
      <c r="L1167" s="1467" t="s">
        <v>2127</v>
      </c>
      <c r="M1167" s="1468">
        <v>2.462E-2</v>
      </c>
      <c r="N1167" s="1469">
        <v>1.4257922227891207</v>
      </c>
      <c r="O1167" s="1469"/>
    </row>
    <row r="1168" spans="11:15">
      <c r="K1168" s="1466">
        <v>43225</v>
      </c>
      <c r="L1168" s="1467"/>
      <c r="M1168" s="1468">
        <v>0</v>
      </c>
      <c r="N1168" s="1469">
        <v>1.4257922227891207</v>
      </c>
      <c r="O1168" s="1469"/>
    </row>
    <row r="1169" spans="11:15">
      <c r="K1169" s="1466">
        <v>43226</v>
      </c>
      <c r="L1169" s="1467"/>
      <c r="M1169" s="1468">
        <v>0</v>
      </c>
      <c r="N1169" s="1469">
        <v>1.4257922227891207</v>
      </c>
      <c r="O1169" s="1469"/>
    </row>
    <row r="1170" spans="11:15">
      <c r="K1170" s="1466">
        <v>43227</v>
      </c>
      <c r="L1170" s="1467" t="s">
        <v>2127</v>
      </c>
      <c r="M1170" s="1468">
        <v>2.462E-2</v>
      </c>
      <c r="N1170" s="1469">
        <v>1.4261432528343714</v>
      </c>
      <c r="O1170" s="1469"/>
    </row>
    <row r="1171" spans="11:15">
      <c r="K1171" s="1466">
        <v>43228</v>
      </c>
      <c r="L1171" s="1467" t="s">
        <v>2127</v>
      </c>
      <c r="M1171" s="1468">
        <v>2.462E-2</v>
      </c>
      <c r="N1171" s="1469">
        <v>1.4264943693032193</v>
      </c>
      <c r="O1171" s="1469"/>
    </row>
    <row r="1172" spans="11:15">
      <c r="K1172" s="1466">
        <v>43229</v>
      </c>
      <c r="L1172" s="1467" t="s">
        <v>2127</v>
      </c>
      <c r="M1172" s="1468">
        <v>2.462E-2</v>
      </c>
      <c r="N1172" s="1469">
        <v>1.4268455722169417</v>
      </c>
      <c r="O1172" s="1469"/>
    </row>
    <row r="1173" spans="11:15">
      <c r="K1173" s="1466">
        <v>43230</v>
      </c>
      <c r="L1173" s="1467" t="s">
        <v>2127</v>
      </c>
      <c r="M1173" s="1468">
        <v>2.462E-2</v>
      </c>
      <c r="N1173" s="1469">
        <v>1.4271968615968216</v>
      </c>
      <c r="O1173" s="1469"/>
    </row>
    <row r="1174" spans="11:15">
      <c r="K1174" s="1466">
        <v>43231</v>
      </c>
      <c r="L1174" s="1467" t="s">
        <v>2127</v>
      </c>
      <c r="M1174" s="1468">
        <v>2.462E-2</v>
      </c>
      <c r="N1174" s="1469">
        <v>1.4275482374641468</v>
      </c>
      <c r="O1174" s="1469"/>
    </row>
    <row r="1175" spans="11:15">
      <c r="K1175" s="1466">
        <v>43232</v>
      </c>
      <c r="L1175" s="1467"/>
      <c r="M1175" s="1468">
        <v>0</v>
      </c>
      <c r="N1175" s="1469">
        <v>1.4275482374641468</v>
      </c>
      <c r="O1175" s="1469"/>
    </row>
    <row r="1176" spans="11:15">
      <c r="K1176" s="1466">
        <v>43233</v>
      </c>
      <c r="L1176" s="1467"/>
      <c r="M1176" s="1468">
        <v>0</v>
      </c>
      <c r="N1176" s="1469">
        <v>1.4275482374641468</v>
      </c>
      <c r="O1176" s="1469"/>
    </row>
    <row r="1177" spans="11:15">
      <c r="K1177" s="1466">
        <v>43234</v>
      </c>
      <c r="L1177" s="1467" t="s">
        <v>2127</v>
      </c>
      <c r="M1177" s="1468">
        <v>2.462E-2</v>
      </c>
      <c r="N1177" s="1469">
        <v>1.4278996998402107</v>
      </c>
      <c r="O1177" s="1469"/>
    </row>
    <row r="1178" spans="11:15">
      <c r="K1178" s="1466">
        <v>43235</v>
      </c>
      <c r="L1178" s="1467" t="s">
        <v>2127</v>
      </c>
      <c r="M1178" s="1468">
        <v>2.462E-2</v>
      </c>
      <c r="N1178" s="1469">
        <v>1.4282512487463115</v>
      </c>
      <c r="O1178" s="1469"/>
    </row>
    <row r="1179" spans="11:15">
      <c r="K1179" s="1466">
        <v>43236</v>
      </c>
      <c r="L1179" s="1467" t="s">
        <v>2127</v>
      </c>
      <c r="M1179" s="1468">
        <v>2.462E-2</v>
      </c>
      <c r="N1179" s="1469">
        <v>1.428602884203753</v>
      </c>
      <c r="O1179" s="1469"/>
    </row>
    <row r="1180" spans="11:15">
      <c r="K1180" s="1466">
        <v>43237</v>
      </c>
      <c r="L1180" s="1467" t="s">
        <v>2127</v>
      </c>
      <c r="M1180" s="1468">
        <v>2.462E-2</v>
      </c>
      <c r="N1180" s="1469">
        <v>1.4289546062338441</v>
      </c>
      <c r="O1180" s="1469"/>
    </row>
    <row r="1181" spans="11:15">
      <c r="K1181" s="1466">
        <v>43238</v>
      </c>
      <c r="L1181" s="1467" t="s">
        <v>2127</v>
      </c>
      <c r="M1181" s="1468">
        <v>2.462E-2</v>
      </c>
      <c r="N1181" s="1469">
        <v>1.4293064148578989</v>
      </c>
      <c r="O1181" s="1469"/>
    </row>
    <row r="1182" spans="11:15">
      <c r="K1182" s="1466">
        <v>43239</v>
      </c>
      <c r="L1182" s="1467"/>
      <c r="M1182" s="1468">
        <v>0</v>
      </c>
      <c r="N1182" s="1469">
        <v>1.4293064148578989</v>
      </c>
      <c r="O1182" s="1469"/>
    </row>
    <row r="1183" spans="11:15">
      <c r="K1183" s="1466">
        <v>43240</v>
      </c>
      <c r="L1183" s="1467"/>
      <c r="M1183" s="1468">
        <v>0</v>
      </c>
      <c r="N1183" s="1469">
        <v>1.4293064148578989</v>
      </c>
      <c r="O1183" s="1469"/>
    </row>
    <row r="1184" spans="11:15">
      <c r="K1184" s="1466">
        <v>43241</v>
      </c>
      <c r="L1184" s="1467" t="s">
        <v>2127</v>
      </c>
      <c r="M1184" s="1468">
        <v>2.462E-2</v>
      </c>
      <c r="N1184" s="1469">
        <v>1.4296583100972371</v>
      </c>
      <c r="O1184" s="1469"/>
    </row>
    <row r="1185" spans="11:15">
      <c r="K1185" s="1466">
        <v>43242</v>
      </c>
      <c r="L1185" s="1467" t="s">
        <v>2127</v>
      </c>
      <c r="M1185" s="1468">
        <v>2.462E-2</v>
      </c>
      <c r="N1185" s="1469">
        <v>1.4300102919731832</v>
      </c>
      <c r="O1185" s="1469"/>
    </row>
    <row r="1186" spans="11:15">
      <c r="K1186" s="1466">
        <v>43243</v>
      </c>
      <c r="L1186" s="1467" t="s">
        <v>2127</v>
      </c>
      <c r="M1186" s="1468">
        <v>2.462E-2</v>
      </c>
      <c r="N1186" s="1469">
        <v>1.430362360507067</v>
      </c>
      <c r="O1186" s="1469"/>
    </row>
    <row r="1187" spans="11:15">
      <c r="K1187" s="1466">
        <v>43244</v>
      </c>
      <c r="L1187" s="1467" t="s">
        <v>2127</v>
      </c>
      <c r="M1187" s="1468">
        <v>2.462E-2</v>
      </c>
      <c r="N1187" s="1469">
        <v>1.4307145157202239</v>
      </c>
      <c r="O1187" s="1469"/>
    </row>
    <row r="1188" spans="11:15">
      <c r="K1188" s="1466">
        <v>43245</v>
      </c>
      <c r="L1188" s="1467" t="s">
        <v>2127</v>
      </c>
      <c r="M1188" s="1468">
        <v>2.462E-2</v>
      </c>
      <c r="N1188" s="1469">
        <v>1.4310667576339944</v>
      </c>
      <c r="O1188" s="1469"/>
    </row>
    <row r="1189" spans="11:15">
      <c r="K1189" s="1466">
        <v>43246</v>
      </c>
      <c r="L1189" s="1467"/>
      <c r="M1189" s="1468">
        <v>0</v>
      </c>
      <c r="N1189" s="1469">
        <v>1.4310667576339944</v>
      </c>
      <c r="O1189" s="1469"/>
    </row>
    <row r="1190" spans="11:15">
      <c r="K1190" s="1466">
        <v>43247</v>
      </c>
      <c r="L1190" s="1467"/>
      <c r="M1190" s="1468">
        <v>0</v>
      </c>
      <c r="N1190" s="1469">
        <v>1.4310667576339944</v>
      </c>
      <c r="O1190" s="1469"/>
    </row>
    <row r="1191" spans="11:15">
      <c r="K1191" s="1466">
        <v>43248</v>
      </c>
      <c r="L1191" s="1467" t="s">
        <v>2127</v>
      </c>
      <c r="M1191" s="1468">
        <v>2.462E-2</v>
      </c>
      <c r="N1191" s="1469">
        <v>1.431419086269724</v>
      </c>
      <c r="O1191" s="1469"/>
    </row>
    <row r="1192" spans="11:15">
      <c r="K1192" s="1466">
        <v>43249</v>
      </c>
      <c r="L1192" s="1467" t="s">
        <v>2127</v>
      </c>
      <c r="M1192" s="1468">
        <v>2.462E-2</v>
      </c>
      <c r="N1192" s="1469">
        <v>1.4317715016487638</v>
      </c>
      <c r="O1192" s="1469"/>
    </row>
    <row r="1193" spans="11:15">
      <c r="K1193" s="1466">
        <v>43250</v>
      </c>
      <c r="L1193" s="1467" t="s">
        <v>2127</v>
      </c>
      <c r="M1193" s="1468">
        <v>2.462E-2</v>
      </c>
      <c r="N1193" s="1469">
        <v>1.4321240037924698</v>
      </c>
      <c r="O1193" s="1469"/>
    </row>
    <row r="1194" spans="11:15">
      <c r="K1194" s="1466">
        <v>43251</v>
      </c>
      <c r="L1194" s="1467"/>
      <c r="M1194" s="1468">
        <v>0</v>
      </c>
      <c r="N1194" s="1469">
        <v>1.4321240037924698</v>
      </c>
      <c r="O1194" s="1469"/>
    </row>
    <row r="1195" spans="11:15">
      <c r="K1195" s="1466">
        <v>43252</v>
      </c>
      <c r="L1195" s="1467" t="s">
        <v>2127</v>
      </c>
      <c r="M1195" s="1468">
        <v>2.462E-2</v>
      </c>
      <c r="N1195" s="1469">
        <v>1.4324765927222036</v>
      </c>
      <c r="O1195" s="1469"/>
    </row>
    <row r="1196" spans="11:15">
      <c r="K1196" s="1466">
        <v>43253</v>
      </c>
      <c r="L1196" s="1467"/>
      <c r="M1196" s="1468">
        <v>0</v>
      </c>
      <c r="N1196" s="1469">
        <v>1.4324765927222036</v>
      </c>
      <c r="O1196" s="1469"/>
    </row>
    <row r="1197" spans="11:15">
      <c r="K1197" s="1466">
        <v>43254</v>
      </c>
      <c r="L1197" s="1467"/>
      <c r="M1197" s="1468">
        <v>0</v>
      </c>
      <c r="N1197" s="1469">
        <v>1.4324765927222036</v>
      </c>
      <c r="O1197" s="1469"/>
    </row>
    <row r="1198" spans="11:15">
      <c r="K1198" s="1466">
        <v>43255</v>
      </c>
      <c r="L1198" s="1467" t="s">
        <v>2127</v>
      </c>
      <c r="M1198" s="1468">
        <v>2.462E-2</v>
      </c>
      <c r="N1198" s="1469">
        <v>1.432829268459332</v>
      </c>
      <c r="O1198" s="1469"/>
    </row>
    <row r="1199" spans="11:15">
      <c r="K1199" s="1466">
        <v>43256</v>
      </c>
      <c r="L1199" s="1467" t="s">
        <v>2127</v>
      </c>
      <c r="M1199" s="1468">
        <v>2.462E-2</v>
      </c>
      <c r="N1199" s="1469">
        <v>1.4331820310252268</v>
      </c>
      <c r="O1199" s="1469"/>
    </row>
    <row r="1200" spans="11:15">
      <c r="K1200" s="1466">
        <v>43257</v>
      </c>
      <c r="L1200" s="1467" t="s">
        <v>2127</v>
      </c>
      <c r="M1200" s="1468">
        <v>2.462E-2</v>
      </c>
      <c r="N1200" s="1469">
        <v>1.4335348804412653</v>
      </c>
      <c r="O1200" s="1469"/>
    </row>
    <row r="1201" spans="11:15">
      <c r="K1201" s="1466">
        <v>43258</v>
      </c>
      <c r="L1201" s="1467" t="s">
        <v>2127</v>
      </c>
      <c r="M1201" s="1468">
        <v>2.462E-2</v>
      </c>
      <c r="N1201" s="1469">
        <v>1.43388781672883</v>
      </c>
      <c r="O1201" s="1469"/>
    </row>
    <row r="1202" spans="11:15">
      <c r="K1202" s="1466">
        <v>43259</v>
      </c>
      <c r="L1202" s="1467" t="s">
        <v>2127</v>
      </c>
      <c r="M1202" s="1468">
        <v>2.462E-2</v>
      </c>
      <c r="N1202" s="1469">
        <v>1.4342408399093087</v>
      </c>
      <c r="O1202" s="1469"/>
    </row>
    <row r="1203" spans="11:15">
      <c r="K1203" s="1466">
        <v>43260</v>
      </c>
      <c r="L1203" s="1467"/>
      <c r="M1203" s="1468">
        <v>0</v>
      </c>
      <c r="N1203" s="1469">
        <v>1.4342408399093087</v>
      </c>
      <c r="O1203" s="1469"/>
    </row>
    <row r="1204" spans="11:15">
      <c r="K1204" s="1466">
        <v>43261</v>
      </c>
      <c r="L1204" s="1467"/>
      <c r="M1204" s="1468">
        <v>0</v>
      </c>
      <c r="N1204" s="1469">
        <v>1.4342408399093087</v>
      </c>
      <c r="O1204" s="1469"/>
    </row>
    <row r="1205" spans="11:15">
      <c r="K1205" s="1466">
        <v>43262</v>
      </c>
      <c r="L1205" s="1467" t="s">
        <v>2127</v>
      </c>
      <c r="M1205" s="1468">
        <v>2.462E-2</v>
      </c>
      <c r="N1205" s="1469">
        <v>1.4345939500040945</v>
      </c>
      <c r="O1205" s="1469"/>
    </row>
    <row r="1206" spans="11:15">
      <c r="K1206" s="1466">
        <v>43263</v>
      </c>
      <c r="L1206" s="1467" t="s">
        <v>2127</v>
      </c>
      <c r="M1206" s="1468">
        <v>2.462E-2</v>
      </c>
      <c r="N1206" s="1469">
        <v>1.4349471470345856</v>
      </c>
      <c r="O1206" s="1469"/>
    </row>
    <row r="1207" spans="11:15">
      <c r="K1207" s="1466">
        <v>43264</v>
      </c>
      <c r="L1207" s="1467" t="s">
        <v>2127</v>
      </c>
      <c r="M1207" s="1468">
        <v>2.462E-2</v>
      </c>
      <c r="N1207" s="1469">
        <v>1.4353004310221855</v>
      </c>
      <c r="O1207" s="1469"/>
    </row>
    <row r="1208" spans="11:15">
      <c r="K1208" s="1466">
        <v>43265</v>
      </c>
      <c r="L1208" s="1467" t="s">
        <v>2127</v>
      </c>
      <c r="M1208" s="1468">
        <v>2.462E-2</v>
      </c>
      <c r="N1208" s="1469">
        <v>1.4356538019883034</v>
      </c>
      <c r="O1208" s="1469"/>
    </row>
    <row r="1209" spans="11:15">
      <c r="K1209" s="1466">
        <v>43266</v>
      </c>
      <c r="L1209" s="1467" t="s">
        <v>2127</v>
      </c>
      <c r="M1209" s="1468">
        <v>2.462E-2</v>
      </c>
      <c r="N1209" s="1469">
        <v>1.436007259954353</v>
      </c>
      <c r="O1209" s="1469"/>
    </row>
    <row r="1210" spans="11:15">
      <c r="K1210" s="1466">
        <v>43267</v>
      </c>
      <c r="L1210" s="1467"/>
      <c r="M1210" s="1468">
        <v>0</v>
      </c>
      <c r="N1210" s="1469">
        <v>1.436007259954353</v>
      </c>
      <c r="O1210" s="1469"/>
    </row>
    <row r="1211" spans="11:15">
      <c r="K1211" s="1466">
        <v>43268</v>
      </c>
      <c r="L1211" s="1467"/>
      <c r="M1211" s="1468">
        <v>0</v>
      </c>
      <c r="N1211" s="1469">
        <v>1.436007259954353</v>
      </c>
      <c r="O1211" s="1469"/>
    </row>
    <row r="1212" spans="11:15">
      <c r="K1212" s="1466">
        <v>43269</v>
      </c>
      <c r="L1212" s="1467" t="s">
        <v>2127</v>
      </c>
      <c r="M1212" s="1468">
        <v>2.462E-2</v>
      </c>
      <c r="N1212" s="1469">
        <v>1.4363608049417538</v>
      </c>
      <c r="O1212" s="1469"/>
    </row>
    <row r="1213" spans="11:15">
      <c r="K1213" s="1466">
        <v>43270</v>
      </c>
      <c r="L1213" s="1467" t="s">
        <v>2127</v>
      </c>
      <c r="M1213" s="1468">
        <v>2.462E-2</v>
      </c>
      <c r="N1213" s="1469">
        <v>1.4367144369719305</v>
      </c>
      <c r="O1213" s="1469"/>
    </row>
    <row r="1214" spans="11:15">
      <c r="K1214" s="1466">
        <v>43271</v>
      </c>
      <c r="L1214" s="1467" t="s">
        <v>2127</v>
      </c>
      <c r="M1214" s="1468">
        <v>2.462E-2</v>
      </c>
      <c r="N1214" s="1469">
        <v>1.437068156066313</v>
      </c>
      <c r="O1214" s="1469"/>
    </row>
    <row r="1215" spans="11:15">
      <c r="K1215" s="1466">
        <v>43272</v>
      </c>
      <c r="L1215" s="1467" t="s">
        <v>2127</v>
      </c>
      <c r="M1215" s="1468">
        <v>2.462E-2</v>
      </c>
      <c r="N1215" s="1469">
        <v>1.4374219622463367</v>
      </c>
      <c r="O1215" s="1469"/>
    </row>
    <row r="1216" spans="11:15">
      <c r="K1216" s="1466">
        <v>43273</v>
      </c>
      <c r="L1216" s="1467" t="s">
        <v>2127</v>
      </c>
      <c r="M1216" s="1468">
        <v>2.462E-2</v>
      </c>
      <c r="N1216" s="1469">
        <v>1.4377758555334419</v>
      </c>
      <c r="O1216" s="1469"/>
    </row>
    <row r="1217" spans="11:15">
      <c r="K1217" s="1466">
        <v>43274</v>
      </c>
      <c r="L1217" s="1467"/>
      <c r="M1217" s="1468">
        <v>0</v>
      </c>
      <c r="N1217" s="1469">
        <v>1.4377758555334419</v>
      </c>
      <c r="O1217" s="1469"/>
    </row>
    <row r="1218" spans="11:15">
      <c r="K1218" s="1466">
        <v>43275</v>
      </c>
      <c r="L1218" s="1467"/>
      <c r="M1218" s="1468">
        <v>0</v>
      </c>
      <c r="N1218" s="1469">
        <v>1.4377758555334419</v>
      </c>
      <c r="O1218" s="1469"/>
    </row>
    <row r="1219" spans="11:15">
      <c r="K1219" s="1466">
        <v>43276</v>
      </c>
      <c r="L1219" s="1467" t="s">
        <v>2127</v>
      </c>
      <c r="M1219" s="1468">
        <v>2.462E-2</v>
      </c>
      <c r="N1219" s="1469">
        <v>1.4381298359490744</v>
      </c>
      <c r="O1219" s="1469"/>
    </row>
    <row r="1220" spans="11:15">
      <c r="K1220" s="1466">
        <v>43277</v>
      </c>
      <c r="L1220" s="1467" t="s">
        <v>2127</v>
      </c>
      <c r="M1220" s="1468">
        <v>2.462E-2</v>
      </c>
      <c r="N1220" s="1469">
        <v>1.4384839035146852</v>
      </c>
      <c r="O1220" s="1469"/>
    </row>
    <row r="1221" spans="11:15">
      <c r="K1221" s="1466">
        <v>43278</v>
      </c>
      <c r="L1221" s="1467" t="s">
        <v>2127</v>
      </c>
      <c r="M1221" s="1468">
        <v>2.462E-2</v>
      </c>
      <c r="N1221" s="1469">
        <v>1.4388380582517306</v>
      </c>
      <c r="O1221" s="1469"/>
    </row>
    <row r="1222" spans="11:15">
      <c r="K1222" s="1466">
        <v>43279</v>
      </c>
      <c r="L1222" s="1467" t="s">
        <v>2127</v>
      </c>
      <c r="M1222" s="1468">
        <v>2.462E-2</v>
      </c>
      <c r="N1222" s="1469">
        <v>1.4391923001816722</v>
      </c>
      <c r="O1222" s="1469"/>
    </row>
    <row r="1223" spans="11:15">
      <c r="K1223" s="1466">
        <v>43280</v>
      </c>
      <c r="L1223" s="1467" t="s">
        <v>2127</v>
      </c>
      <c r="M1223" s="1468">
        <v>2.462E-2</v>
      </c>
      <c r="N1223" s="1469">
        <v>1.4395466293259771</v>
      </c>
      <c r="O1223" s="1469"/>
    </row>
    <row r="1224" spans="11:15">
      <c r="K1224" s="1466">
        <v>43281</v>
      </c>
      <c r="L1224" s="1467"/>
      <c r="M1224" s="1468">
        <v>0</v>
      </c>
      <c r="N1224" s="1469">
        <v>1.4395466293259771</v>
      </c>
      <c r="O1224" s="1469"/>
    </row>
    <row r="1225" spans="11:15">
      <c r="K1225" s="1466">
        <v>43282</v>
      </c>
      <c r="L1225" s="1467"/>
      <c r="M1225" s="1468">
        <v>0</v>
      </c>
      <c r="N1225" s="1469">
        <v>1.4395466293259771</v>
      </c>
      <c r="O1225" s="1469"/>
    </row>
    <row r="1226" spans="11:15">
      <c r="K1226" s="1466">
        <v>43283</v>
      </c>
      <c r="L1226" s="1467" t="s">
        <v>2127</v>
      </c>
      <c r="M1226" s="1468">
        <v>2.462E-2</v>
      </c>
      <c r="N1226" s="1469">
        <v>1.4399010457061172</v>
      </c>
      <c r="O1226" s="1469"/>
    </row>
    <row r="1227" spans="11:15">
      <c r="K1227" s="1466">
        <v>43284</v>
      </c>
      <c r="L1227" s="1467" t="s">
        <v>2127</v>
      </c>
      <c r="M1227" s="1468">
        <v>2.462E-2</v>
      </c>
      <c r="N1227" s="1469">
        <v>1.4402555493435703</v>
      </c>
      <c r="O1227" s="1469"/>
    </row>
    <row r="1228" spans="11:15">
      <c r="K1228" s="1466">
        <v>43285</v>
      </c>
      <c r="L1228" s="1467" t="s">
        <v>2127</v>
      </c>
      <c r="M1228" s="1468">
        <v>2.462E-2</v>
      </c>
      <c r="N1228" s="1469">
        <v>1.4406101402598188</v>
      </c>
      <c r="O1228" s="1469"/>
    </row>
    <row r="1229" spans="11:15">
      <c r="K1229" s="1466">
        <v>43286</v>
      </c>
      <c r="L1229" s="1467" t="s">
        <v>2127</v>
      </c>
      <c r="M1229" s="1468">
        <v>2.462E-2</v>
      </c>
      <c r="N1229" s="1469">
        <v>1.4409648184763508</v>
      </c>
      <c r="O1229" s="1469"/>
    </row>
    <row r="1230" spans="11:15">
      <c r="K1230" s="1466">
        <v>43287</v>
      </c>
      <c r="L1230" s="1467" t="s">
        <v>2127</v>
      </c>
      <c r="M1230" s="1468">
        <v>2.462E-2</v>
      </c>
      <c r="N1230" s="1469">
        <v>1.4413195840146598</v>
      </c>
      <c r="O1230" s="1469"/>
    </row>
    <row r="1231" spans="11:15">
      <c r="K1231" s="1466">
        <v>43288</v>
      </c>
      <c r="L1231" s="1467"/>
      <c r="M1231" s="1468">
        <v>0</v>
      </c>
      <c r="N1231" s="1469">
        <v>1.4413195840146598</v>
      </c>
      <c r="O1231" s="1469"/>
    </row>
    <row r="1232" spans="11:15">
      <c r="K1232" s="1466">
        <v>43289</v>
      </c>
      <c r="L1232" s="1467"/>
      <c r="M1232" s="1468">
        <v>0</v>
      </c>
      <c r="N1232" s="1469">
        <v>1.4413195840146598</v>
      </c>
      <c r="O1232" s="1469"/>
    </row>
    <row r="1233" spans="11:15">
      <c r="K1233" s="1466">
        <v>43290</v>
      </c>
      <c r="L1233" s="1467" t="s">
        <v>2127</v>
      </c>
      <c r="M1233" s="1468">
        <v>2.462E-2</v>
      </c>
      <c r="N1233" s="1469">
        <v>1.4416744368962442</v>
      </c>
      <c r="O1233" s="1469"/>
    </row>
    <row r="1234" spans="11:15">
      <c r="K1234" s="1466">
        <v>43291</v>
      </c>
      <c r="L1234" s="1467" t="s">
        <v>2127</v>
      </c>
      <c r="M1234" s="1468">
        <v>2.462E-2</v>
      </c>
      <c r="N1234" s="1469">
        <v>1.4420293771426083</v>
      </c>
      <c r="O1234" s="1469"/>
    </row>
    <row r="1235" spans="11:15">
      <c r="K1235" s="1466">
        <v>43292</v>
      </c>
      <c r="L1235" s="1467" t="s">
        <v>2127</v>
      </c>
      <c r="M1235" s="1468">
        <v>2.462E-2</v>
      </c>
      <c r="N1235" s="1469">
        <v>1.442384404775261</v>
      </c>
      <c r="O1235" s="1469"/>
    </row>
    <row r="1236" spans="11:15">
      <c r="K1236" s="1466">
        <v>43293</v>
      </c>
      <c r="L1236" s="1467" t="s">
        <v>2127</v>
      </c>
      <c r="M1236" s="1468">
        <v>2.462E-2</v>
      </c>
      <c r="N1236" s="1469">
        <v>1.4427395198157167</v>
      </c>
      <c r="O1236" s="1469"/>
    </row>
    <row r="1237" spans="11:15">
      <c r="K1237" s="1466">
        <v>43294</v>
      </c>
      <c r="L1237" s="1467" t="s">
        <v>2127</v>
      </c>
      <c r="M1237" s="1468">
        <v>2.462E-2</v>
      </c>
      <c r="N1237" s="1469">
        <v>1.4430947222854955</v>
      </c>
      <c r="O1237" s="1469"/>
    </row>
    <row r="1238" spans="11:15">
      <c r="K1238" s="1466">
        <v>43295</v>
      </c>
      <c r="L1238" s="1467"/>
      <c r="M1238" s="1468">
        <v>0</v>
      </c>
      <c r="N1238" s="1469">
        <v>1.4430947222854955</v>
      </c>
      <c r="O1238" s="1469"/>
    </row>
    <row r="1239" spans="11:15">
      <c r="K1239" s="1466">
        <v>43296</v>
      </c>
      <c r="L1239" s="1467"/>
      <c r="M1239" s="1468">
        <v>0</v>
      </c>
      <c r="N1239" s="1469">
        <v>1.4430947222854955</v>
      </c>
      <c r="O1239" s="1469"/>
    </row>
    <row r="1240" spans="11:15">
      <c r="K1240" s="1466">
        <v>43297</v>
      </c>
      <c r="L1240" s="1467" t="s">
        <v>2127</v>
      </c>
      <c r="M1240" s="1468">
        <v>2.462E-2</v>
      </c>
      <c r="N1240" s="1469">
        <v>1.4434500122061222</v>
      </c>
      <c r="O1240" s="1469"/>
    </row>
    <row r="1241" spans="11:15">
      <c r="K1241" s="1466">
        <v>43298</v>
      </c>
      <c r="L1241" s="1467" t="s">
        <v>2127</v>
      </c>
      <c r="M1241" s="1468">
        <v>2.462E-2</v>
      </c>
      <c r="N1241" s="1469">
        <v>1.4438053895991274</v>
      </c>
      <c r="O1241" s="1469"/>
    </row>
    <row r="1242" spans="11:15">
      <c r="K1242" s="1466">
        <v>43299</v>
      </c>
      <c r="L1242" s="1467" t="s">
        <v>2127</v>
      </c>
      <c r="M1242" s="1468">
        <v>2.462E-2</v>
      </c>
      <c r="N1242" s="1469">
        <v>1.4441608544860469</v>
      </c>
      <c r="O1242" s="1469"/>
    </row>
    <row r="1243" spans="11:15">
      <c r="K1243" s="1466">
        <v>43300</v>
      </c>
      <c r="L1243" s="1467" t="s">
        <v>2127</v>
      </c>
      <c r="M1243" s="1468">
        <v>2.462E-2</v>
      </c>
      <c r="N1243" s="1469">
        <v>1.4445164068884215</v>
      </c>
      <c r="O1243" s="1469"/>
    </row>
    <row r="1244" spans="11:15">
      <c r="K1244" s="1466">
        <v>43301</v>
      </c>
      <c r="L1244" s="1467" t="s">
        <v>2127</v>
      </c>
      <c r="M1244" s="1468">
        <v>2.462E-2</v>
      </c>
      <c r="N1244" s="1469">
        <v>1.4448720468277976</v>
      </c>
      <c r="O1244" s="1469"/>
    </row>
    <row r="1245" spans="11:15">
      <c r="K1245" s="1466">
        <v>43302</v>
      </c>
      <c r="L1245" s="1467"/>
      <c r="M1245" s="1468">
        <v>0</v>
      </c>
      <c r="N1245" s="1469">
        <v>1.4448720468277976</v>
      </c>
      <c r="O1245" s="1469"/>
    </row>
    <row r="1246" spans="11:15">
      <c r="K1246" s="1466">
        <v>43303</v>
      </c>
      <c r="L1246" s="1467"/>
      <c r="M1246" s="1468">
        <v>0</v>
      </c>
      <c r="N1246" s="1469">
        <v>1.4448720468277976</v>
      </c>
      <c r="O1246" s="1469"/>
    </row>
    <row r="1247" spans="11:15">
      <c r="K1247" s="1466">
        <v>43304</v>
      </c>
      <c r="L1247" s="1467" t="s">
        <v>2127</v>
      </c>
      <c r="M1247" s="1468">
        <v>2.462E-2</v>
      </c>
      <c r="N1247" s="1469">
        <v>1.4452277743257267</v>
      </c>
      <c r="O1247" s="1469"/>
    </row>
    <row r="1248" spans="11:15">
      <c r="K1248" s="1466">
        <v>43305</v>
      </c>
      <c r="L1248" s="1467" t="s">
        <v>2127</v>
      </c>
      <c r="M1248" s="1468">
        <v>2.462E-2</v>
      </c>
      <c r="N1248" s="1469">
        <v>1.4455835894037659</v>
      </c>
      <c r="O1248" s="1469"/>
    </row>
    <row r="1249" spans="11:15">
      <c r="K1249" s="1466">
        <v>43306</v>
      </c>
      <c r="L1249" s="1467" t="s">
        <v>2127</v>
      </c>
      <c r="M1249" s="1468">
        <v>2.462E-2</v>
      </c>
      <c r="N1249" s="1469">
        <v>1.4459394920834772</v>
      </c>
      <c r="O1249" s="1469"/>
    </row>
    <row r="1250" spans="11:15">
      <c r="K1250" s="1466">
        <v>43307</v>
      </c>
      <c r="L1250" s="1467" t="s">
        <v>2127</v>
      </c>
      <c r="M1250" s="1468">
        <v>2.462E-2</v>
      </c>
      <c r="N1250" s="1469">
        <v>1.4462954823864282</v>
      </c>
      <c r="O1250" s="1469"/>
    </row>
    <row r="1251" spans="11:15">
      <c r="K1251" s="1466">
        <v>43308</v>
      </c>
      <c r="L1251" s="1467" t="s">
        <v>2127</v>
      </c>
      <c r="M1251" s="1468">
        <v>2.462E-2</v>
      </c>
      <c r="N1251" s="1469">
        <v>1.4466515603341918</v>
      </c>
      <c r="O1251" s="1469"/>
    </row>
    <row r="1252" spans="11:15">
      <c r="K1252" s="1466">
        <v>43309</v>
      </c>
      <c r="L1252" s="1467"/>
      <c r="M1252" s="1468">
        <v>0</v>
      </c>
      <c r="N1252" s="1469">
        <v>1.4466515603341918</v>
      </c>
      <c r="O1252" s="1469"/>
    </row>
    <row r="1253" spans="11:15">
      <c r="K1253" s="1466">
        <v>43310</v>
      </c>
      <c r="L1253" s="1467"/>
      <c r="M1253" s="1468">
        <v>0</v>
      </c>
      <c r="N1253" s="1469">
        <v>1.4466515603341918</v>
      </c>
      <c r="O1253" s="1469"/>
    </row>
    <row r="1254" spans="11:15">
      <c r="K1254" s="1466">
        <v>43311</v>
      </c>
      <c r="L1254" s="1467" t="s">
        <v>2127</v>
      </c>
      <c r="M1254" s="1468">
        <v>2.462E-2</v>
      </c>
      <c r="N1254" s="1469">
        <v>1.4470077259483463</v>
      </c>
      <c r="O1254" s="1469"/>
    </row>
    <row r="1255" spans="11:15">
      <c r="K1255" s="1466">
        <v>43312</v>
      </c>
      <c r="L1255" s="1467" t="s">
        <v>2127</v>
      </c>
      <c r="M1255" s="1468">
        <v>2.462E-2</v>
      </c>
      <c r="N1255" s="1469">
        <v>1.4473639792504749</v>
      </c>
      <c r="O1255" s="1469"/>
    </row>
    <row r="1256" spans="11:15">
      <c r="K1256" s="1466">
        <v>43313</v>
      </c>
      <c r="L1256" s="1467" t="s">
        <v>2127</v>
      </c>
      <c r="M1256" s="1468">
        <v>2.462E-2</v>
      </c>
      <c r="N1256" s="1469">
        <v>1.4477203202621665</v>
      </c>
      <c r="O1256" s="1469"/>
    </row>
    <row r="1257" spans="11:15">
      <c r="K1257" s="1466">
        <v>43314</v>
      </c>
      <c r="L1257" s="1467" t="s">
        <v>2127</v>
      </c>
      <c r="M1257" s="1468">
        <v>2.462E-2</v>
      </c>
      <c r="N1257" s="1469">
        <v>1.448076749005015</v>
      </c>
      <c r="O1257" s="1469"/>
    </row>
    <row r="1258" spans="11:15">
      <c r="K1258" s="1466">
        <v>43315</v>
      </c>
      <c r="L1258" s="1467" t="s">
        <v>2127</v>
      </c>
      <c r="M1258" s="1468">
        <v>2.462E-2</v>
      </c>
      <c r="N1258" s="1469">
        <v>1.4484332655006202</v>
      </c>
      <c r="O1258" s="1469"/>
    </row>
    <row r="1259" spans="11:15">
      <c r="K1259" s="1466">
        <v>43316</v>
      </c>
      <c r="L1259" s="1467"/>
      <c r="M1259" s="1468">
        <v>0</v>
      </c>
      <c r="N1259" s="1469">
        <v>1.4484332655006202</v>
      </c>
      <c r="O1259" s="1469"/>
    </row>
    <row r="1260" spans="11:15">
      <c r="K1260" s="1466">
        <v>43317</v>
      </c>
      <c r="L1260" s="1467"/>
      <c r="M1260" s="1468">
        <v>0</v>
      </c>
      <c r="N1260" s="1469">
        <v>1.4484332655006202</v>
      </c>
      <c r="O1260" s="1469"/>
    </row>
    <row r="1261" spans="11:15">
      <c r="K1261" s="1466">
        <v>43318</v>
      </c>
      <c r="L1261" s="1467" t="s">
        <v>2127</v>
      </c>
      <c r="M1261" s="1468">
        <v>2.462E-2</v>
      </c>
      <c r="N1261" s="1469">
        <v>1.4487898697705865</v>
      </c>
      <c r="O1261" s="1469"/>
    </row>
    <row r="1262" spans="11:15">
      <c r="K1262" s="1466">
        <v>43319</v>
      </c>
      <c r="L1262" s="1467" t="s">
        <v>2127</v>
      </c>
      <c r="M1262" s="1468">
        <v>2.462E-2</v>
      </c>
      <c r="N1262" s="1469">
        <v>1.4491465618365242</v>
      </c>
      <c r="O1262" s="1469"/>
    </row>
    <row r="1263" spans="11:15">
      <c r="K1263" s="1466">
        <v>43320</v>
      </c>
      <c r="L1263" s="1467" t="s">
        <v>2127</v>
      </c>
      <c r="M1263" s="1468">
        <v>2.462E-2</v>
      </c>
      <c r="N1263" s="1469">
        <v>1.4495033417200485</v>
      </c>
      <c r="O1263" s="1469"/>
    </row>
    <row r="1264" spans="11:15">
      <c r="K1264" s="1466">
        <v>43321</v>
      </c>
      <c r="L1264" s="1467" t="s">
        <v>2127</v>
      </c>
      <c r="M1264" s="1468">
        <v>2.462E-2</v>
      </c>
      <c r="N1264" s="1469">
        <v>1.4498602094427802</v>
      </c>
      <c r="O1264" s="1469"/>
    </row>
    <row r="1265" spans="11:15">
      <c r="K1265" s="1466">
        <v>43322</v>
      </c>
      <c r="L1265" s="1467" t="s">
        <v>2127</v>
      </c>
      <c r="M1265" s="1468">
        <v>2.462E-2</v>
      </c>
      <c r="N1265" s="1469">
        <v>1.4502171650263451</v>
      </c>
      <c r="O1265" s="1469"/>
    </row>
    <row r="1266" spans="11:15">
      <c r="K1266" s="1466">
        <v>43323</v>
      </c>
      <c r="L1266" s="1467"/>
      <c r="M1266" s="1468">
        <v>0</v>
      </c>
      <c r="N1266" s="1469">
        <v>1.4502171650263451</v>
      </c>
      <c r="O1266" s="1469"/>
    </row>
    <row r="1267" spans="11:15">
      <c r="K1267" s="1466">
        <v>43324</v>
      </c>
      <c r="L1267" s="1467"/>
      <c r="M1267" s="1468">
        <v>0</v>
      </c>
      <c r="N1267" s="1469">
        <v>1.4502171650263451</v>
      </c>
      <c r="O1267" s="1469"/>
    </row>
    <row r="1268" spans="11:15">
      <c r="K1268" s="1466">
        <v>43325</v>
      </c>
      <c r="L1268" s="1467" t="s">
        <v>2127</v>
      </c>
      <c r="M1268" s="1468">
        <v>2.462E-2</v>
      </c>
      <c r="N1268" s="1469">
        <v>1.4505742084923747</v>
      </c>
      <c r="O1268" s="1469"/>
    </row>
    <row r="1269" spans="11:15">
      <c r="K1269" s="1466">
        <v>43326</v>
      </c>
      <c r="L1269" s="1467" t="s">
        <v>2127</v>
      </c>
      <c r="M1269" s="1468">
        <v>2.462E-2</v>
      </c>
      <c r="N1269" s="1469">
        <v>1.4509313398625057</v>
      </c>
      <c r="O1269" s="1469"/>
    </row>
    <row r="1270" spans="11:15">
      <c r="K1270" s="1466">
        <v>43327</v>
      </c>
      <c r="L1270" s="1467" t="s">
        <v>2127</v>
      </c>
      <c r="M1270" s="1468">
        <v>2.462E-2</v>
      </c>
      <c r="N1270" s="1469">
        <v>1.45128855915838</v>
      </c>
      <c r="O1270" s="1469"/>
    </row>
    <row r="1271" spans="11:15">
      <c r="K1271" s="1466">
        <v>43328</v>
      </c>
      <c r="L1271" s="1467" t="s">
        <v>2127</v>
      </c>
      <c r="M1271" s="1468">
        <v>2.462E-2</v>
      </c>
      <c r="N1271" s="1469">
        <v>1.4516458664016449</v>
      </c>
      <c r="O1271" s="1469"/>
    </row>
    <row r="1272" spans="11:15">
      <c r="K1272" s="1466">
        <v>43329</v>
      </c>
      <c r="L1272" s="1467" t="s">
        <v>2127</v>
      </c>
      <c r="M1272" s="1468">
        <v>2.462E-2</v>
      </c>
      <c r="N1272" s="1469">
        <v>1.4520032616139531</v>
      </c>
      <c r="O1272" s="1469"/>
    </row>
    <row r="1273" spans="11:15">
      <c r="K1273" s="1466">
        <v>43330</v>
      </c>
      <c r="L1273" s="1467"/>
      <c r="M1273" s="1468">
        <v>0</v>
      </c>
      <c r="N1273" s="1469">
        <v>1.4520032616139531</v>
      </c>
      <c r="O1273" s="1469"/>
    </row>
    <row r="1274" spans="11:15">
      <c r="K1274" s="1466">
        <v>43331</v>
      </c>
      <c r="L1274" s="1467"/>
      <c r="M1274" s="1468">
        <v>0</v>
      </c>
      <c r="N1274" s="1469">
        <v>1.4520032616139531</v>
      </c>
      <c r="O1274" s="1469"/>
    </row>
    <row r="1275" spans="11:15">
      <c r="K1275" s="1466">
        <v>43332</v>
      </c>
      <c r="L1275" s="1467" t="s">
        <v>2127</v>
      </c>
      <c r="M1275" s="1468">
        <v>2.462E-2</v>
      </c>
      <c r="N1275" s="1469">
        <v>1.4523607448169626</v>
      </c>
      <c r="O1275" s="1469"/>
    </row>
    <row r="1276" spans="11:15">
      <c r="K1276" s="1466">
        <v>43333</v>
      </c>
      <c r="L1276" s="1467" t="s">
        <v>2127</v>
      </c>
      <c r="M1276" s="1468">
        <v>2.462E-2</v>
      </c>
      <c r="N1276" s="1469">
        <v>1.4527183160323367</v>
      </c>
      <c r="O1276" s="1469"/>
    </row>
    <row r="1277" spans="11:15">
      <c r="K1277" s="1466">
        <v>43334</v>
      </c>
      <c r="L1277" s="1467" t="s">
        <v>2127</v>
      </c>
      <c r="M1277" s="1468">
        <v>2.462E-2</v>
      </c>
      <c r="N1277" s="1469">
        <v>1.4530759752817439</v>
      </c>
      <c r="O1277" s="1469"/>
    </row>
    <row r="1278" spans="11:15">
      <c r="K1278" s="1466">
        <v>43335</v>
      </c>
      <c r="L1278" s="1467" t="s">
        <v>2127</v>
      </c>
      <c r="M1278" s="1468">
        <v>2.462E-2</v>
      </c>
      <c r="N1278" s="1469">
        <v>1.4534337225868583</v>
      </c>
      <c r="O1278" s="1469"/>
    </row>
    <row r="1279" spans="11:15">
      <c r="K1279" s="1466">
        <v>43336</v>
      </c>
      <c r="L1279" s="1467" t="s">
        <v>2127</v>
      </c>
      <c r="M1279" s="1468">
        <v>2.462E-2</v>
      </c>
      <c r="N1279" s="1469">
        <v>1.4537915579693594</v>
      </c>
      <c r="O1279" s="1469"/>
    </row>
    <row r="1280" spans="11:15">
      <c r="K1280" s="1466">
        <v>43337</v>
      </c>
      <c r="L1280" s="1467"/>
      <c r="M1280" s="1468">
        <v>0</v>
      </c>
      <c r="N1280" s="1469">
        <v>1.4537915579693594</v>
      </c>
      <c r="O1280" s="1469"/>
    </row>
    <row r="1281" spans="11:15">
      <c r="K1281" s="1466">
        <v>43338</v>
      </c>
      <c r="L1281" s="1467"/>
      <c r="M1281" s="1468">
        <v>0</v>
      </c>
      <c r="N1281" s="1469">
        <v>1.4537915579693594</v>
      </c>
      <c r="O1281" s="1469"/>
    </row>
    <row r="1282" spans="11:15">
      <c r="K1282" s="1466">
        <v>43339</v>
      </c>
      <c r="L1282" s="1467" t="s">
        <v>2127</v>
      </c>
      <c r="M1282" s="1468">
        <v>2.462E-2</v>
      </c>
      <c r="N1282" s="1469">
        <v>1.4541494814509317</v>
      </c>
      <c r="O1282" s="1469"/>
    </row>
    <row r="1283" spans="11:15">
      <c r="K1283" s="1466">
        <v>43340</v>
      </c>
      <c r="L1283" s="1467" t="s">
        <v>2127</v>
      </c>
      <c r="M1283" s="1468">
        <v>2.462E-2</v>
      </c>
      <c r="N1283" s="1469">
        <v>1.4545074930532651</v>
      </c>
      <c r="O1283" s="1469"/>
    </row>
    <row r="1284" spans="11:15">
      <c r="K1284" s="1466">
        <v>43341</v>
      </c>
      <c r="L1284" s="1467" t="s">
        <v>2127</v>
      </c>
      <c r="M1284" s="1468">
        <v>2.462E-2</v>
      </c>
      <c r="N1284" s="1469">
        <v>1.4548655927980549</v>
      </c>
      <c r="O1284" s="1469"/>
    </row>
    <row r="1285" spans="11:15">
      <c r="K1285" s="1466">
        <v>43342</v>
      </c>
      <c r="L1285" s="1467" t="s">
        <v>2127</v>
      </c>
      <c r="M1285" s="1468">
        <v>2.462E-2</v>
      </c>
      <c r="N1285" s="1469">
        <v>1.4552237807070019</v>
      </c>
      <c r="O1285" s="1469"/>
    </row>
    <row r="1286" spans="11:15">
      <c r="K1286" s="1466">
        <v>43343</v>
      </c>
      <c r="L1286" s="1467" t="s">
        <v>2127</v>
      </c>
      <c r="M1286" s="1468">
        <v>2.462E-2</v>
      </c>
      <c r="N1286" s="1469">
        <v>1.4555820568018121</v>
      </c>
      <c r="O1286" s="1469"/>
    </row>
    <row r="1287" spans="11:15">
      <c r="K1287" s="1466">
        <v>43344</v>
      </c>
      <c r="L1287" s="1467"/>
      <c r="M1287" s="1468">
        <v>0</v>
      </c>
      <c r="N1287" s="1469">
        <v>1.4555820568018121</v>
      </c>
      <c r="O1287" s="1469"/>
    </row>
    <row r="1288" spans="11:15">
      <c r="K1288" s="1466">
        <v>43345</v>
      </c>
      <c r="L1288" s="1467"/>
      <c r="M1288" s="1468">
        <v>0</v>
      </c>
      <c r="N1288" s="1469">
        <v>1.4555820568018121</v>
      </c>
      <c r="O1288" s="1469"/>
    </row>
    <row r="1289" spans="11:15">
      <c r="K1289" s="1466">
        <v>43346</v>
      </c>
      <c r="L1289" s="1467" t="s">
        <v>2127</v>
      </c>
      <c r="M1289" s="1468">
        <v>2.462E-2</v>
      </c>
      <c r="N1289" s="1469">
        <v>1.4559404211041969</v>
      </c>
      <c r="O1289" s="1469"/>
    </row>
    <row r="1290" spans="11:15">
      <c r="K1290" s="1466">
        <v>43347</v>
      </c>
      <c r="L1290" s="1467" t="s">
        <v>2127</v>
      </c>
      <c r="M1290" s="1468">
        <v>2.462E-2</v>
      </c>
      <c r="N1290" s="1469">
        <v>1.4562988736358728</v>
      </c>
      <c r="O1290" s="1469"/>
    </row>
    <row r="1291" spans="11:15">
      <c r="K1291" s="1466">
        <v>43348</v>
      </c>
      <c r="L1291" s="1467" t="s">
        <v>2127</v>
      </c>
      <c r="M1291" s="1468">
        <v>2.462E-2</v>
      </c>
      <c r="N1291" s="1469">
        <v>1.4566574144185622</v>
      </c>
      <c r="O1291" s="1469"/>
    </row>
    <row r="1292" spans="11:15">
      <c r="K1292" s="1466">
        <v>43349</v>
      </c>
      <c r="L1292" s="1467" t="s">
        <v>2127</v>
      </c>
      <c r="M1292" s="1468">
        <v>2.462E-2</v>
      </c>
      <c r="N1292" s="1469">
        <v>1.4570160434739923</v>
      </c>
      <c r="O1292" s="1469"/>
    </row>
    <row r="1293" spans="11:15">
      <c r="K1293" s="1466">
        <v>43350</v>
      </c>
      <c r="L1293" s="1467"/>
      <c r="M1293" s="1468">
        <v>0</v>
      </c>
      <c r="N1293" s="1469">
        <v>1.4570160434739923</v>
      </c>
      <c r="O1293" s="1469"/>
    </row>
    <row r="1294" spans="11:15">
      <c r="K1294" s="1466">
        <v>43351</v>
      </c>
      <c r="L1294" s="1467"/>
      <c r="M1294" s="1468">
        <v>0</v>
      </c>
      <c r="N1294" s="1469">
        <v>1.4570160434739923</v>
      </c>
      <c r="O1294" s="1469"/>
    </row>
    <row r="1295" spans="11:15">
      <c r="K1295" s="1466">
        <v>43352</v>
      </c>
      <c r="L1295" s="1467"/>
      <c r="M1295" s="1468">
        <v>0</v>
      </c>
      <c r="N1295" s="1469">
        <v>1.4570160434739923</v>
      </c>
      <c r="O1295" s="1469"/>
    </row>
    <row r="1296" spans="11:15">
      <c r="K1296" s="1466">
        <v>43353</v>
      </c>
      <c r="L1296" s="1467" t="s">
        <v>2127</v>
      </c>
      <c r="M1296" s="1468">
        <v>2.462E-2</v>
      </c>
      <c r="N1296" s="1469">
        <v>1.4573747608238956</v>
      </c>
      <c r="O1296" s="1469"/>
    </row>
    <row r="1297" spans="11:15">
      <c r="K1297" s="1466">
        <v>43354</v>
      </c>
      <c r="L1297" s="1467" t="s">
        <v>2127</v>
      </c>
      <c r="M1297" s="1468">
        <v>2.462E-2</v>
      </c>
      <c r="N1297" s="1469">
        <v>1.4577335664900106</v>
      </c>
      <c r="O1297" s="1469"/>
    </row>
    <row r="1298" spans="11:15">
      <c r="K1298" s="1466">
        <v>43355</v>
      </c>
      <c r="L1298" s="1467" t="s">
        <v>2127</v>
      </c>
      <c r="M1298" s="1468">
        <v>2.462E-2</v>
      </c>
      <c r="N1298" s="1469">
        <v>1.4580924604940806</v>
      </c>
      <c r="O1298" s="1469"/>
    </row>
    <row r="1299" spans="11:15">
      <c r="K1299" s="1466">
        <v>43356</v>
      </c>
      <c r="L1299" s="1467" t="s">
        <v>2127</v>
      </c>
      <c r="M1299" s="1468">
        <v>2.462E-2</v>
      </c>
      <c r="N1299" s="1469">
        <v>1.4584514428578543</v>
      </c>
      <c r="O1299" s="1469"/>
    </row>
    <row r="1300" spans="11:15">
      <c r="K1300" s="1466">
        <v>43357</v>
      </c>
      <c r="L1300" s="1467" t="s">
        <v>2127</v>
      </c>
      <c r="M1300" s="1468">
        <v>2.462E-2</v>
      </c>
      <c r="N1300" s="1469">
        <v>1.458810513603086</v>
      </c>
      <c r="O1300" s="1469"/>
    </row>
    <row r="1301" spans="11:15">
      <c r="K1301" s="1466">
        <v>43358</v>
      </c>
      <c r="L1301" s="1467"/>
      <c r="M1301" s="1468">
        <v>0</v>
      </c>
      <c r="N1301" s="1469">
        <v>1.458810513603086</v>
      </c>
      <c r="O1301" s="1469"/>
    </row>
    <row r="1302" spans="11:15">
      <c r="K1302" s="1466">
        <v>43359</v>
      </c>
      <c r="L1302" s="1467"/>
      <c r="M1302" s="1468">
        <v>0</v>
      </c>
      <c r="N1302" s="1469">
        <v>1.458810513603086</v>
      </c>
      <c r="O1302" s="1469"/>
    </row>
    <row r="1303" spans="11:15">
      <c r="K1303" s="1466">
        <v>43360</v>
      </c>
      <c r="L1303" s="1467" t="s">
        <v>2127</v>
      </c>
      <c r="M1303" s="1468">
        <v>2.462E-2</v>
      </c>
      <c r="N1303" s="1469">
        <v>1.4591696727515353</v>
      </c>
      <c r="O1303" s="1469"/>
    </row>
    <row r="1304" spans="11:15">
      <c r="K1304" s="1466">
        <v>43361</v>
      </c>
      <c r="L1304" s="1467" t="s">
        <v>2127</v>
      </c>
      <c r="M1304" s="1468">
        <v>2.462E-2</v>
      </c>
      <c r="N1304" s="1469">
        <v>1.4595289203249668</v>
      </c>
      <c r="O1304" s="1469"/>
    </row>
    <row r="1305" spans="11:15">
      <c r="K1305" s="1466">
        <v>43362</v>
      </c>
      <c r="L1305" s="1467" t="s">
        <v>2127</v>
      </c>
      <c r="M1305" s="1468">
        <v>2.462E-2</v>
      </c>
      <c r="N1305" s="1469">
        <v>1.459888256345151</v>
      </c>
      <c r="O1305" s="1469"/>
    </row>
    <row r="1306" spans="11:15">
      <c r="K1306" s="1466">
        <v>43363</v>
      </c>
      <c r="L1306" s="1467" t="s">
        <v>2127</v>
      </c>
      <c r="M1306" s="1468">
        <v>2.462E-2</v>
      </c>
      <c r="N1306" s="1469">
        <v>1.4602476808338634</v>
      </c>
      <c r="O1306" s="1469"/>
    </row>
    <row r="1307" spans="11:15">
      <c r="K1307" s="1466">
        <v>43364</v>
      </c>
      <c r="L1307" s="1467" t="s">
        <v>2127</v>
      </c>
      <c r="M1307" s="1468">
        <v>2.462E-2</v>
      </c>
      <c r="N1307" s="1469">
        <v>1.4606071938128848</v>
      </c>
      <c r="O1307" s="1469"/>
    </row>
    <row r="1308" spans="11:15">
      <c r="K1308" s="1466">
        <v>43365</v>
      </c>
      <c r="L1308" s="1467"/>
      <c r="M1308" s="1468">
        <v>0</v>
      </c>
      <c r="N1308" s="1469">
        <v>1.4606071938128848</v>
      </c>
      <c r="O1308" s="1469"/>
    </row>
    <row r="1309" spans="11:15">
      <c r="K1309" s="1466">
        <v>43366</v>
      </c>
      <c r="L1309" s="1467"/>
      <c r="M1309" s="1468">
        <v>0</v>
      </c>
      <c r="N1309" s="1469">
        <v>1.4606071938128848</v>
      </c>
      <c r="O1309" s="1469"/>
    </row>
    <row r="1310" spans="11:15">
      <c r="K1310" s="1466">
        <v>43367</v>
      </c>
      <c r="L1310" s="1467" t="s">
        <v>2127</v>
      </c>
      <c r="M1310" s="1468">
        <v>2.462E-2</v>
      </c>
      <c r="N1310" s="1469">
        <v>1.4609667953040018</v>
      </c>
      <c r="O1310" s="1469"/>
    </row>
    <row r="1311" spans="11:15">
      <c r="K1311" s="1466">
        <v>43368</v>
      </c>
      <c r="L1311" s="1467" t="s">
        <v>2127</v>
      </c>
      <c r="M1311" s="1468">
        <v>2.462E-2</v>
      </c>
      <c r="N1311" s="1469">
        <v>1.4613264853290058</v>
      </c>
      <c r="O1311" s="1469"/>
    </row>
    <row r="1312" spans="11:15">
      <c r="K1312" s="1466">
        <v>43369</v>
      </c>
      <c r="L1312" s="1467" t="s">
        <v>2127</v>
      </c>
      <c r="M1312" s="1468">
        <v>2.462E-2</v>
      </c>
      <c r="N1312" s="1469">
        <v>1.4616862639096939</v>
      </c>
      <c r="O1312" s="1469"/>
    </row>
    <row r="1313" spans="11:15">
      <c r="K1313" s="1466">
        <v>43370</v>
      </c>
      <c r="L1313" s="1467" t="s">
        <v>2127</v>
      </c>
      <c r="M1313" s="1468">
        <v>2.462E-2</v>
      </c>
      <c r="N1313" s="1469">
        <v>1.4620461310678685</v>
      </c>
      <c r="O1313" s="1469"/>
    </row>
    <row r="1314" spans="11:15">
      <c r="K1314" s="1466">
        <v>43371</v>
      </c>
      <c r="L1314" s="1467" t="s">
        <v>2127</v>
      </c>
      <c r="M1314" s="1468">
        <v>2.462E-2</v>
      </c>
      <c r="N1314" s="1469">
        <v>1.4624060868253375</v>
      </c>
      <c r="O1314" s="1469"/>
    </row>
    <row r="1315" spans="11:15">
      <c r="K1315" s="1466">
        <v>43372</v>
      </c>
      <c r="L1315" s="1467"/>
      <c r="M1315" s="1468">
        <v>0</v>
      </c>
      <c r="N1315" s="1469">
        <v>1.4624060868253375</v>
      </c>
      <c r="O1315" s="1469"/>
    </row>
    <row r="1316" spans="11:15">
      <c r="K1316" s="1466">
        <v>43373</v>
      </c>
      <c r="L1316" s="1467"/>
      <c r="M1316" s="1468">
        <v>0</v>
      </c>
      <c r="N1316" s="1469">
        <v>1.4624060868253375</v>
      </c>
      <c r="O1316" s="1469"/>
    </row>
    <row r="1317" spans="11:15">
      <c r="K1317" s="1466">
        <v>43374</v>
      </c>
      <c r="L1317" s="1467" t="s">
        <v>2127</v>
      </c>
      <c r="M1317" s="1468">
        <v>2.462E-2</v>
      </c>
      <c r="N1317" s="1469">
        <v>1.462766131203914</v>
      </c>
      <c r="O1317" s="1469"/>
    </row>
    <row r="1318" spans="11:15">
      <c r="K1318" s="1466">
        <v>43375</v>
      </c>
      <c r="L1318" s="1467" t="s">
        <v>2127</v>
      </c>
      <c r="M1318" s="1468">
        <v>2.462E-2</v>
      </c>
      <c r="N1318" s="1469">
        <v>1.4631262642254166</v>
      </c>
      <c r="O1318" s="1469"/>
    </row>
    <row r="1319" spans="11:15">
      <c r="K1319" s="1466">
        <v>43376</v>
      </c>
      <c r="L1319" s="1467" t="s">
        <v>2127</v>
      </c>
      <c r="M1319" s="1468">
        <v>2.462E-2</v>
      </c>
      <c r="N1319" s="1469">
        <v>1.463486485911669</v>
      </c>
      <c r="O1319" s="1469"/>
    </row>
    <row r="1320" spans="11:15">
      <c r="K1320" s="1466">
        <v>43377</v>
      </c>
      <c r="L1320" s="1467" t="s">
        <v>2127</v>
      </c>
      <c r="M1320" s="1468">
        <v>2.462E-2</v>
      </c>
      <c r="N1320" s="1469">
        <v>1.4638467962845005</v>
      </c>
      <c r="O1320" s="1469"/>
    </row>
    <row r="1321" spans="11:15">
      <c r="K1321" s="1466">
        <v>43378</v>
      </c>
      <c r="L1321" s="1467" t="s">
        <v>2127</v>
      </c>
      <c r="M1321" s="1468">
        <v>2.462E-2</v>
      </c>
      <c r="N1321" s="1469">
        <v>1.4642071953657458</v>
      </c>
      <c r="O1321" s="1469"/>
    </row>
    <row r="1322" spans="11:15">
      <c r="K1322" s="1466">
        <v>43379</v>
      </c>
      <c r="L1322" s="1467"/>
      <c r="M1322" s="1468">
        <v>0</v>
      </c>
      <c r="N1322" s="1469">
        <v>1.4642071953657458</v>
      </c>
      <c r="O1322" s="1469"/>
    </row>
    <row r="1323" spans="11:15">
      <c r="K1323" s="1466">
        <v>43380</v>
      </c>
      <c r="L1323" s="1467"/>
      <c r="M1323" s="1468">
        <v>0</v>
      </c>
      <c r="N1323" s="1469">
        <v>1.4642071953657458</v>
      </c>
      <c r="O1323" s="1469"/>
    </row>
    <row r="1324" spans="11:15">
      <c r="K1324" s="1466">
        <v>43381</v>
      </c>
      <c r="L1324" s="1467" t="s">
        <v>2127</v>
      </c>
      <c r="M1324" s="1468">
        <v>2.462E-2</v>
      </c>
      <c r="N1324" s="1469">
        <v>1.4645676831772449</v>
      </c>
      <c r="O1324" s="1469"/>
    </row>
    <row r="1325" spans="11:15">
      <c r="K1325" s="1466">
        <v>43382</v>
      </c>
      <c r="L1325" s="1467" t="s">
        <v>2127</v>
      </c>
      <c r="M1325" s="1468">
        <v>2.462E-2</v>
      </c>
      <c r="N1325" s="1469">
        <v>1.4649282597408433</v>
      </c>
      <c r="O1325" s="1469"/>
    </row>
    <row r="1326" spans="11:15">
      <c r="K1326" s="1466">
        <v>43383</v>
      </c>
      <c r="L1326" s="1467" t="s">
        <v>2127</v>
      </c>
      <c r="M1326" s="1468">
        <v>2.462E-2</v>
      </c>
      <c r="N1326" s="1469">
        <v>1.4652889250783916</v>
      </c>
      <c r="O1326" s="1469"/>
    </row>
    <row r="1327" spans="11:15">
      <c r="K1327" s="1466">
        <v>43384</v>
      </c>
      <c r="L1327" s="1467" t="s">
        <v>2127</v>
      </c>
      <c r="M1327" s="1468">
        <v>2.462E-2</v>
      </c>
      <c r="N1327" s="1469">
        <v>1.4656496792117459</v>
      </c>
      <c r="O1327" s="1469"/>
    </row>
    <row r="1328" spans="11:15">
      <c r="K1328" s="1466">
        <v>43385</v>
      </c>
      <c r="L1328" s="1467"/>
      <c r="M1328" s="1468">
        <v>0</v>
      </c>
      <c r="N1328" s="1469">
        <v>1.4656496792117459</v>
      </c>
      <c r="O1328" s="1469"/>
    </row>
    <row r="1329" spans="11:15">
      <c r="K1329" s="1466">
        <v>43386</v>
      </c>
      <c r="L1329" s="1467"/>
      <c r="M1329" s="1468">
        <v>0</v>
      </c>
      <c r="N1329" s="1469">
        <v>1.4656496792117459</v>
      </c>
      <c r="O1329" s="1469"/>
    </row>
    <row r="1330" spans="11:15">
      <c r="K1330" s="1466">
        <v>43387</v>
      </c>
      <c r="L1330" s="1467"/>
      <c r="M1330" s="1468">
        <v>0</v>
      </c>
      <c r="N1330" s="1469">
        <v>1.4656496792117459</v>
      </c>
      <c r="O1330" s="1469"/>
    </row>
    <row r="1331" spans="11:15">
      <c r="K1331" s="1466">
        <v>43388</v>
      </c>
      <c r="L1331" s="1467" t="s">
        <v>2127</v>
      </c>
      <c r="M1331" s="1468">
        <v>2.462E-2</v>
      </c>
      <c r="N1331" s="1469">
        <v>1.4660105221627679</v>
      </c>
      <c r="O1331" s="1469"/>
    </row>
    <row r="1332" spans="11:15">
      <c r="K1332" s="1466">
        <v>43389</v>
      </c>
      <c r="L1332" s="1467" t="s">
        <v>2127</v>
      </c>
      <c r="M1332" s="1468">
        <v>2.462E-2</v>
      </c>
      <c r="N1332" s="1469">
        <v>1.4663714539533246</v>
      </c>
      <c r="O1332" s="1469"/>
    </row>
    <row r="1333" spans="11:15">
      <c r="K1333" s="1466">
        <v>43390</v>
      </c>
      <c r="L1333" s="1467" t="s">
        <v>2127</v>
      </c>
      <c r="M1333" s="1468">
        <v>2.462E-2</v>
      </c>
      <c r="N1333" s="1469">
        <v>1.4667324746052881</v>
      </c>
      <c r="O1333" s="1469"/>
    </row>
    <row r="1334" spans="11:15">
      <c r="K1334" s="1466">
        <v>43391</v>
      </c>
      <c r="L1334" s="1467" t="s">
        <v>2127</v>
      </c>
      <c r="M1334" s="1468">
        <v>2.462E-2</v>
      </c>
      <c r="N1334" s="1469">
        <v>1.4670935841405361</v>
      </c>
      <c r="O1334" s="1469"/>
    </row>
    <row r="1335" spans="11:15">
      <c r="K1335" s="1466">
        <v>43392</v>
      </c>
      <c r="L1335" s="1467" t="s">
        <v>2127</v>
      </c>
      <c r="M1335" s="1468">
        <v>2.462E-2</v>
      </c>
      <c r="N1335" s="1469">
        <v>1.4674547825809516</v>
      </c>
      <c r="O1335" s="1469"/>
    </row>
    <row r="1336" spans="11:15">
      <c r="K1336" s="1466">
        <v>43393</v>
      </c>
      <c r="L1336" s="1467"/>
      <c r="M1336" s="1468">
        <v>0</v>
      </c>
      <c r="N1336" s="1469">
        <v>1.4674547825809516</v>
      </c>
      <c r="O1336" s="1469"/>
    </row>
    <row r="1337" spans="11:15">
      <c r="K1337" s="1466">
        <v>43394</v>
      </c>
      <c r="L1337" s="1467"/>
      <c r="M1337" s="1468">
        <v>0</v>
      </c>
      <c r="N1337" s="1469">
        <v>1.4674547825809516</v>
      </c>
      <c r="O1337" s="1469"/>
    </row>
    <row r="1338" spans="11:15">
      <c r="K1338" s="1466">
        <v>43395</v>
      </c>
      <c r="L1338" s="1467" t="s">
        <v>2127</v>
      </c>
      <c r="M1338" s="1468">
        <v>2.462E-2</v>
      </c>
      <c r="N1338" s="1469">
        <v>1.4678160699484233</v>
      </c>
      <c r="O1338" s="1469"/>
    </row>
    <row r="1339" spans="11:15">
      <c r="K1339" s="1466">
        <v>43396</v>
      </c>
      <c r="L1339" s="1467" t="s">
        <v>2127</v>
      </c>
      <c r="M1339" s="1468">
        <v>2.462E-2</v>
      </c>
      <c r="N1339" s="1469">
        <v>1.4681774462648447</v>
      </c>
      <c r="O1339" s="1469"/>
    </row>
    <row r="1340" spans="11:15">
      <c r="K1340" s="1466">
        <v>43397</v>
      </c>
      <c r="L1340" s="1467" t="s">
        <v>2127</v>
      </c>
      <c r="M1340" s="1468">
        <v>2.462E-2</v>
      </c>
      <c r="N1340" s="1469">
        <v>1.4685389115521152</v>
      </c>
      <c r="O1340" s="1469"/>
    </row>
    <row r="1341" spans="11:15">
      <c r="K1341" s="1466">
        <v>43398</v>
      </c>
      <c r="L1341" s="1467" t="s">
        <v>2127</v>
      </c>
      <c r="M1341" s="1468">
        <v>2.462E-2</v>
      </c>
      <c r="N1341" s="1469">
        <v>1.4689004658321394</v>
      </c>
      <c r="O1341" s="1469"/>
    </row>
    <row r="1342" spans="11:15">
      <c r="K1342" s="1466">
        <v>43399</v>
      </c>
      <c r="L1342" s="1467" t="s">
        <v>2127</v>
      </c>
      <c r="M1342" s="1468">
        <v>2.462E-2</v>
      </c>
      <c r="N1342" s="1469">
        <v>1.4692621091268274</v>
      </c>
      <c r="O1342" s="1469"/>
    </row>
    <row r="1343" spans="11:15">
      <c r="K1343" s="1466">
        <v>43400</v>
      </c>
      <c r="L1343" s="1467"/>
      <c r="M1343" s="1468">
        <v>0</v>
      </c>
      <c r="N1343" s="1469">
        <v>1.4692621091268274</v>
      </c>
      <c r="O1343" s="1469"/>
    </row>
    <row r="1344" spans="11:15">
      <c r="K1344" s="1466">
        <v>43401</v>
      </c>
      <c r="L1344" s="1467"/>
      <c r="M1344" s="1468">
        <v>0</v>
      </c>
      <c r="N1344" s="1469">
        <v>1.4692621091268274</v>
      </c>
      <c r="O1344" s="1469"/>
    </row>
    <row r="1345" spans="11:15">
      <c r="K1345" s="1466">
        <v>43402</v>
      </c>
      <c r="L1345" s="1467" t="s">
        <v>2127</v>
      </c>
      <c r="M1345" s="1468">
        <v>2.462E-2</v>
      </c>
      <c r="N1345" s="1469">
        <v>1.4696238414580947</v>
      </c>
      <c r="O1345" s="1469"/>
    </row>
    <row r="1346" spans="11:15">
      <c r="K1346" s="1466">
        <v>43403</v>
      </c>
      <c r="L1346" s="1467" t="s">
        <v>2127</v>
      </c>
      <c r="M1346" s="1468">
        <v>2.462E-2</v>
      </c>
      <c r="N1346" s="1469">
        <v>1.4699856628478618</v>
      </c>
      <c r="O1346" s="1469"/>
    </row>
    <row r="1347" spans="11:15">
      <c r="K1347" s="1466">
        <v>43404</v>
      </c>
      <c r="L1347" s="1467" t="s">
        <v>2127</v>
      </c>
      <c r="M1347" s="1468">
        <v>2.462E-2</v>
      </c>
      <c r="N1347" s="1469">
        <v>1.4703475733180551</v>
      </c>
      <c r="O1347" s="1469"/>
    </row>
    <row r="1348" spans="11:15">
      <c r="K1348" s="1466">
        <v>43405</v>
      </c>
      <c r="L1348" s="1467" t="s">
        <v>2127</v>
      </c>
      <c r="M1348" s="1468">
        <v>2.462E-2</v>
      </c>
      <c r="N1348" s="1469">
        <v>1.4707095728906061</v>
      </c>
      <c r="O1348" s="1469"/>
    </row>
    <row r="1349" spans="11:15">
      <c r="K1349" s="1466">
        <v>43406</v>
      </c>
      <c r="L1349" s="1467"/>
      <c r="M1349" s="1468">
        <v>0</v>
      </c>
      <c r="N1349" s="1469">
        <v>1.4707095728906061</v>
      </c>
      <c r="O1349" s="1469"/>
    </row>
    <row r="1350" spans="11:15">
      <c r="K1350" s="1466">
        <v>43407</v>
      </c>
      <c r="L1350" s="1467"/>
      <c r="M1350" s="1468">
        <v>0</v>
      </c>
      <c r="N1350" s="1469">
        <v>1.4707095728906061</v>
      </c>
      <c r="O1350" s="1469"/>
    </row>
    <row r="1351" spans="11:15">
      <c r="K1351" s="1466">
        <v>43408</v>
      </c>
      <c r="L1351" s="1467"/>
      <c r="M1351" s="1468">
        <v>0</v>
      </c>
      <c r="N1351" s="1469">
        <v>1.4707095728906061</v>
      </c>
      <c r="O1351" s="1469"/>
    </row>
    <row r="1352" spans="11:15">
      <c r="K1352" s="1466">
        <v>43409</v>
      </c>
      <c r="L1352" s="1467" t="s">
        <v>2127</v>
      </c>
      <c r="M1352" s="1468">
        <v>2.462E-2</v>
      </c>
      <c r="N1352" s="1469">
        <v>1.471071661587452</v>
      </c>
      <c r="O1352" s="1469"/>
    </row>
    <row r="1353" spans="11:15">
      <c r="K1353" s="1466">
        <v>43410</v>
      </c>
      <c r="L1353" s="1467" t="s">
        <v>2127</v>
      </c>
      <c r="M1353" s="1468">
        <v>2.462E-2</v>
      </c>
      <c r="N1353" s="1469">
        <v>1.4714338394305349</v>
      </c>
      <c r="O1353" s="1469"/>
    </row>
    <row r="1354" spans="11:15">
      <c r="K1354" s="1466">
        <v>43411</v>
      </c>
      <c r="L1354" s="1467" t="s">
        <v>2127</v>
      </c>
      <c r="M1354" s="1468">
        <v>2.462E-2</v>
      </c>
      <c r="N1354" s="1469">
        <v>1.4717961064418028</v>
      </c>
      <c r="O1354" s="1469"/>
    </row>
    <row r="1355" spans="11:15">
      <c r="K1355" s="1466">
        <v>43412</v>
      </c>
      <c r="L1355" s="1467" t="s">
        <v>2127</v>
      </c>
      <c r="M1355" s="1468">
        <v>2.462E-2</v>
      </c>
      <c r="N1355" s="1469">
        <v>1.4721584626432089</v>
      </c>
      <c r="O1355" s="1469"/>
    </row>
    <row r="1356" spans="11:15">
      <c r="K1356" s="1466">
        <v>43413</v>
      </c>
      <c r="L1356" s="1467" t="s">
        <v>2127</v>
      </c>
      <c r="M1356" s="1468">
        <v>2.462E-2</v>
      </c>
      <c r="N1356" s="1469">
        <v>1.4725209080567119</v>
      </c>
      <c r="O1356" s="1469"/>
    </row>
    <row r="1357" spans="11:15">
      <c r="K1357" s="1466">
        <v>43414</v>
      </c>
      <c r="L1357" s="1467"/>
      <c r="M1357" s="1468">
        <v>0</v>
      </c>
      <c r="N1357" s="1469">
        <v>1.4725209080567119</v>
      </c>
      <c r="O1357" s="1469"/>
    </row>
    <row r="1358" spans="11:15">
      <c r="K1358" s="1466">
        <v>43415</v>
      </c>
      <c r="L1358" s="1467"/>
      <c r="M1358" s="1468">
        <v>0</v>
      </c>
      <c r="N1358" s="1469">
        <v>1.4725209080567119</v>
      </c>
      <c r="O1358" s="1469"/>
    </row>
    <row r="1359" spans="11:15">
      <c r="K1359" s="1466">
        <v>43416</v>
      </c>
      <c r="L1359" s="1467" t="s">
        <v>2127</v>
      </c>
      <c r="M1359" s="1468">
        <v>2.462E-2</v>
      </c>
      <c r="N1359" s="1469">
        <v>1.4728834427042756</v>
      </c>
      <c r="O1359" s="1469"/>
    </row>
    <row r="1360" spans="11:15">
      <c r="K1360" s="1466">
        <v>43417</v>
      </c>
      <c r="L1360" s="1467" t="s">
        <v>2127</v>
      </c>
      <c r="M1360" s="1468">
        <v>2.462E-2</v>
      </c>
      <c r="N1360" s="1469">
        <v>1.4732460666078695</v>
      </c>
      <c r="O1360" s="1469"/>
    </row>
    <row r="1361" spans="11:15">
      <c r="K1361" s="1466">
        <v>43418</v>
      </c>
      <c r="L1361" s="1467" t="s">
        <v>2127</v>
      </c>
      <c r="M1361" s="1468">
        <v>2.462E-2</v>
      </c>
      <c r="N1361" s="1469">
        <v>1.4736087797894686</v>
      </c>
      <c r="O1361" s="1469"/>
    </row>
    <row r="1362" spans="11:15">
      <c r="K1362" s="1466">
        <v>43419</v>
      </c>
      <c r="L1362" s="1467"/>
      <c r="M1362" s="1468">
        <v>0</v>
      </c>
      <c r="N1362" s="1469">
        <v>1.4736087797894686</v>
      </c>
      <c r="O1362" s="1469"/>
    </row>
    <row r="1363" spans="11:15">
      <c r="K1363" s="1466">
        <v>43420</v>
      </c>
      <c r="L1363" s="1467" t="s">
        <v>2127</v>
      </c>
      <c r="M1363" s="1468">
        <v>2.462E-2</v>
      </c>
      <c r="N1363" s="1469">
        <v>1.4739715822710528</v>
      </c>
      <c r="O1363" s="1469"/>
    </row>
    <row r="1364" spans="11:15">
      <c r="K1364" s="1466">
        <v>43421</v>
      </c>
      <c r="L1364" s="1467"/>
      <c r="M1364" s="1468">
        <v>0</v>
      </c>
      <c r="N1364" s="1469">
        <v>1.4739715822710528</v>
      </c>
      <c r="O1364" s="1469"/>
    </row>
    <row r="1365" spans="11:15">
      <c r="K1365" s="1466">
        <v>43422</v>
      </c>
      <c r="L1365" s="1467"/>
      <c r="M1365" s="1468">
        <v>0</v>
      </c>
      <c r="N1365" s="1469">
        <v>1.4739715822710528</v>
      </c>
      <c r="O1365" s="1469"/>
    </row>
    <row r="1366" spans="11:15">
      <c r="K1366" s="1466">
        <v>43423</v>
      </c>
      <c r="L1366" s="1467" t="s">
        <v>2127</v>
      </c>
      <c r="M1366" s="1468">
        <v>2.462E-2</v>
      </c>
      <c r="N1366" s="1469">
        <v>1.474334474074608</v>
      </c>
      <c r="O1366" s="1469"/>
    </row>
    <row r="1367" spans="11:15">
      <c r="K1367" s="1466">
        <v>43424</v>
      </c>
      <c r="L1367" s="1467" t="s">
        <v>2127</v>
      </c>
      <c r="M1367" s="1468">
        <v>2.462E-2</v>
      </c>
      <c r="N1367" s="1469">
        <v>1.4746974552221253</v>
      </c>
      <c r="O1367" s="1469"/>
    </row>
    <row r="1368" spans="11:15">
      <c r="K1368" s="1466">
        <v>43425</v>
      </c>
      <c r="L1368" s="1467" t="s">
        <v>2127</v>
      </c>
      <c r="M1368" s="1468">
        <v>2.462E-2</v>
      </c>
      <c r="N1368" s="1469">
        <v>1.4750605257356011</v>
      </c>
      <c r="O1368" s="1469"/>
    </row>
    <row r="1369" spans="11:15">
      <c r="K1369" s="1466">
        <v>43426</v>
      </c>
      <c r="L1369" s="1467" t="s">
        <v>2127</v>
      </c>
      <c r="M1369" s="1468">
        <v>2.462E-2</v>
      </c>
      <c r="N1369" s="1469">
        <v>1.4754236856370373</v>
      </c>
      <c r="O1369" s="1469"/>
    </row>
    <row r="1370" spans="11:15">
      <c r="K1370" s="1466">
        <v>43427</v>
      </c>
      <c r="L1370" s="1467" t="s">
        <v>2127</v>
      </c>
      <c r="M1370" s="1468">
        <v>2.462E-2</v>
      </c>
      <c r="N1370" s="1469">
        <v>1.4757869349484412</v>
      </c>
      <c r="O1370" s="1469"/>
    </row>
    <row r="1371" spans="11:15">
      <c r="K1371" s="1466">
        <v>43428</v>
      </c>
      <c r="L1371" s="1467"/>
      <c r="M1371" s="1468">
        <v>0</v>
      </c>
      <c r="N1371" s="1469">
        <v>1.4757869349484412</v>
      </c>
      <c r="O1371" s="1469"/>
    </row>
    <row r="1372" spans="11:15">
      <c r="K1372" s="1466">
        <v>43429</v>
      </c>
      <c r="L1372" s="1467"/>
      <c r="M1372" s="1468">
        <v>0</v>
      </c>
      <c r="N1372" s="1469">
        <v>1.4757869349484412</v>
      </c>
      <c r="O1372" s="1469"/>
    </row>
    <row r="1373" spans="11:15">
      <c r="K1373" s="1466">
        <v>43430</v>
      </c>
      <c r="L1373" s="1467" t="s">
        <v>2127</v>
      </c>
      <c r="M1373" s="1468">
        <v>2.462E-2</v>
      </c>
      <c r="N1373" s="1469">
        <v>1.4761502736918255</v>
      </c>
      <c r="O1373" s="1469"/>
    </row>
    <row r="1374" spans="11:15">
      <c r="K1374" s="1466">
        <v>43431</v>
      </c>
      <c r="L1374" s="1467" t="s">
        <v>2127</v>
      </c>
      <c r="M1374" s="1468">
        <v>2.462E-2</v>
      </c>
      <c r="N1374" s="1469">
        <v>1.4765137018892085</v>
      </c>
      <c r="O1374" s="1469"/>
    </row>
    <row r="1375" spans="11:15">
      <c r="K1375" s="1466">
        <v>43432</v>
      </c>
      <c r="L1375" s="1467" t="s">
        <v>2127</v>
      </c>
      <c r="M1375" s="1468">
        <v>2.462E-2</v>
      </c>
      <c r="N1375" s="1469">
        <v>1.4768772195626136</v>
      </c>
      <c r="O1375" s="1469"/>
    </row>
    <row r="1376" spans="11:15">
      <c r="K1376" s="1466">
        <v>43433</v>
      </c>
      <c r="L1376" s="1467" t="s">
        <v>2127</v>
      </c>
      <c r="M1376" s="1468">
        <v>2.462E-2</v>
      </c>
      <c r="N1376" s="1469">
        <v>1.47724082673407</v>
      </c>
      <c r="O1376" s="1469"/>
    </row>
    <row r="1377" spans="11:15">
      <c r="K1377" s="1466">
        <v>43434</v>
      </c>
      <c r="L1377" s="1467" t="s">
        <v>2127</v>
      </c>
      <c r="M1377" s="1468">
        <v>2.462E-2</v>
      </c>
      <c r="N1377" s="1469">
        <v>1.4776045234256121</v>
      </c>
      <c r="O1377" s="1469"/>
    </row>
    <row r="1378" spans="11:15">
      <c r="K1378" s="1466">
        <v>43435</v>
      </c>
      <c r="L1378" s="1467"/>
      <c r="M1378" s="1468">
        <v>0</v>
      </c>
      <c r="N1378" s="1469">
        <v>1.4776045234256121</v>
      </c>
      <c r="O1378" s="1469"/>
    </row>
    <row r="1379" spans="11:15">
      <c r="K1379" s="1466">
        <v>43436</v>
      </c>
      <c r="L1379" s="1467"/>
      <c r="M1379" s="1468">
        <v>0</v>
      </c>
      <c r="N1379" s="1469">
        <v>1.4776045234256121</v>
      </c>
      <c r="O1379" s="1469"/>
    </row>
    <row r="1380" spans="11:15">
      <c r="K1380" s="1466">
        <v>43437</v>
      </c>
      <c r="L1380" s="1467" t="s">
        <v>2127</v>
      </c>
      <c r="M1380" s="1468">
        <v>2.462E-2</v>
      </c>
      <c r="N1380" s="1469">
        <v>1.4779683096592797</v>
      </c>
      <c r="O1380" s="1469"/>
    </row>
    <row r="1381" spans="11:15">
      <c r="K1381" s="1466">
        <v>43438</v>
      </c>
      <c r="L1381" s="1467" t="s">
        <v>2127</v>
      </c>
      <c r="M1381" s="1468">
        <v>2.462E-2</v>
      </c>
      <c r="N1381" s="1469">
        <v>1.4783321854571179</v>
      </c>
      <c r="O1381" s="1469"/>
    </row>
    <row r="1382" spans="11:15">
      <c r="K1382" s="1466">
        <v>43439</v>
      </c>
      <c r="L1382" s="1467" t="s">
        <v>2127</v>
      </c>
      <c r="M1382" s="1468">
        <v>2.462E-2</v>
      </c>
      <c r="N1382" s="1469">
        <v>1.4786961508411776</v>
      </c>
      <c r="O1382" s="1469"/>
    </row>
    <row r="1383" spans="11:15">
      <c r="K1383" s="1466">
        <v>43440</v>
      </c>
      <c r="L1383" s="1467" t="s">
        <v>2127</v>
      </c>
      <c r="M1383" s="1468">
        <v>2.462E-2</v>
      </c>
      <c r="N1383" s="1469">
        <v>1.4790602058335147</v>
      </c>
      <c r="O1383" s="1469"/>
    </row>
    <row r="1384" spans="11:15">
      <c r="K1384" s="1466">
        <v>43441</v>
      </c>
      <c r="L1384" s="1467" t="s">
        <v>2127</v>
      </c>
      <c r="M1384" s="1468">
        <v>2.462E-2</v>
      </c>
      <c r="N1384" s="1469">
        <v>1.479424350456191</v>
      </c>
      <c r="O1384" s="1469"/>
    </row>
    <row r="1385" spans="11:15">
      <c r="K1385" s="1466">
        <v>43442</v>
      </c>
      <c r="L1385" s="1467"/>
      <c r="M1385" s="1468">
        <v>0</v>
      </c>
      <c r="N1385" s="1469">
        <v>1.479424350456191</v>
      </c>
      <c r="O1385" s="1469"/>
    </row>
    <row r="1386" spans="11:15">
      <c r="K1386" s="1466">
        <v>43443</v>
      </c>
      <c r="L1386" s="1467"/>
      <c r="M1386" s="1468">
        <v>0</v>
      </c>
      <c r="N1386" s="1469">
        <v>1.479424350456191</v>
      </c>
      <c r="O1386" s="1469"/>
    </row>
    <row r="1387" spans="11:15">
      <c r="K1387" s="1466">
        <v>43444</v>
      </c>
      <c r="L1387" s="1467" t="s">
        <v>2127</v>
      </c>
      <c r="M1387" s="1468">
        <v>2.462E-2</v>
      </c>
      <c r="N1387" s="1469">
        <v>1.4797885847312735</v>
      </c>
      <c r="O1387" s="1469"/>
    </row>
    <row r="1388" spans="11:15">
      <c r="K1388" s="1466">
        <v>43445</v>
      </c>
      <c r="L1388" s="1467" t="s">
        <v>2127</v>
      </c>
      <c r="M1388" s="1468">
        <v>2.462E-2</v>
      </c>
      <c r="N1388" s="1469">
        <v>1.4801529086808345</v>
      </c>
      <c r="O1388" s="1469"/>
    </row>
    <row r="1389" spans="11:15">
      <c r="K1389" s="1466">
        <v>43446</v>
      </c>
      <c r="L1389" s="1467" t="s">
        <v>2127</v>
      </c>
      <c r="M1389" s="1468">
        <v>2.462E-2</v>
      </c>
      <c r="N1389" s="1469">
        <v>1.4805173223269519</v>
      </c>
      <c r="O1389" s="1469"/>
    </row>
    <row r="1390" spans="11:15">
      <c r="K1390" s="1466">
        <v>43447</v>
      </c>
      <c r="L1390" s="1467" t="s">
        <v>2127</v>
      </c>
      <c r="M1390" s="1468">
        <v>2.462E-2</v>
      </c>
      <c r="N1390" s="1469">
        <v>1.4808818256917089</v>
      </c>
      <c r="O1390" s="1469"/>
    </row>
    <row r="1391" spans="11:15">
      <c r="K1391" s="1466">
        <v>43448</v>
      </c>
      <c r="L1391" s="1467" t="s">
        <v>2127</v>
      </c>
      <c r="M1391" s="1468">
        <v>2.462E-2</v>
      </c>
      <c r="N1391" s="1469">
        <v>1.4812464187971943</v>
      </c>
      <c r="O1391" s="1469"/>
    </row>
    <row r="1392" spans="11:15">
      <c r="K1392" s="1466">
        <v>43449</v>
      </c>
      <c r="L1392" s="1467"/>
      <c r="M1392" s="1468">
        <v>0</v>
      </c>
      <c r="N1392" s="1469">
        <v>1.4812464187971943</v>
      </c>
      <c r="O1392" s="1469"/>
    </row>
    <row r="1393" spans="11:15">
      <c r="K1393" s="1466">
        <v>43450</v>
      </c>
      <c r="L1393" s="1467"/>
      <c r="M1393" s="1468">
        <v>0</v>
      </c>
      <c r="N1393" s="1469">
        <v>1.4812464187971943</v>
      </c>
      <c r="O1393" s="1469"/>
    </row>
    <row r="1394" spans="11:15">
      <c r="K1394" s="1466">
        <v>43451</v>
      </c>
      <c r="L1394" s="1467" t="s">
        <v>2127</v>
      </c>
      <c r="M1394" s="1468">
        <v>2.462E-2</v>
      </c>
      <c r="N1394" s="1469">
        <v>1.4816111016655023</v>
      </c>
      <c r="O1394" s="1469"/>
    </row>
    <row r="1395" spans="11:15">
      <c r="K1395" s="1466">
        <v>43452</v>
      </c>
      <c r="L1395" s="1467" t="s">
        <v>2127</v>
      </c>
      <c r="M1395" s="1468">
        <v>2.462E-2</v>
      </c>
      <c r="N1395" s="1469">
        <v>1.4819758743187323</v>
      </c>
      <c r="O1395" s="1469"/>
    </row>
    <row r="1396" spans="11:15">
      <c r="K1396" s="1466">
        <v>43453</v>
      </c>
      <c r="L1396" s="1467" t="s">
        <v>2127</v>
      </c>
      <c r="M1396" s="1468">
        <v>2.462E-2</v>
      </c>
      <c r="N1396" s="1469">
        <v>1.4823407367789898</v>
      </c>
      <c r="O1396" s="1469"/>
    </row>
    <row r="1397" spans="11:15">
      <c r="K1397" s="1466">
        <v>43454</v>
      </c>
      <c r="L1397" s="1467" t="s">
        <v>2127</v>
      </c>
      <c r="M1397" s="1468">
        <v>2.462E-2</v>
      </c>
      <c r="N1397" s="1469">
        <v>1.482705689068385</v>
      </c>
      <c r="O1397" s="1469"/>
    </row>
    <row r="1398" spans="11:15">
      <c r="K1398" s="1466">
        <v>43455</v>
      </c>
      <c r="L1398" s="1467" t="s">
        <v>2127</v>
      </c>
      <c r="M1398" s="1468">
        <v>2.462E-2</v>
      </c>
      <c r="N1398" s="1469">
        <v>1.4830707312090337</v>
      </c>
      <c r="O1398" s="1469"/>
    </row>
    <row r="1399" spans="11:15">
      <c r="K1399" s="1466">
        <v>43456</v>
      </c>
      <c r="L1399" s="1467"/>
      <c r="M1399" s="1468">
        <v>0</v>
      </c>
      <c r="N1399" s="1469">
        <v>1.4830707312090337</v>
      </c>
      <c r="O1399" s="1469"/>
    </row>
    <row r="1400" spans="11:15">
      <c r="K1400" s="1466">
        <v>43457</v>
      </c>
      <c r="L1400" s="1467"/>
      <c r="M1400" s="1468">
        <v>0</v>
      </c>
      <c r="N1400" s="1469">
        <v>1.4830707312090337</v>
      </c>
      <c r="O1400" s="1469"/>
    </row>
    <row r="1401" spans="11:15">
      <c r="K1401" s="1466">
        <v>43458</v>
      </c>
      <c r="L1401" s="1467" t="s">
        <v>2127</v>
      </c>
      <c r="M1401" s="1468">
        <v>2.462E-2</v>
      </c>
      <c r="N1401" s="1469">
        <v>1.4834358632230575</v>
      </c>
      <c r="O1401" s="1469"/>
    </row>
    <row r="1402" spans="11:15">
      <c r="K1402" s="1466">
        <v>43459</v>
      </c>
      <c r="L1402" s="1467"/>
      <c r="M1402" s="1468">
        <v>0</v>
      </c>
      <c r="N1402" s="1469">
        <v>1.4834358632230575</v>
      </c>
      <c r="O1402" s="1469"/>
    </row>
    <row r="1403" spans="11:15">
      <c r="K1403" s="1466">
        <v>43460</v>
      </c>
      <c r="L1403" s="1467" t="s">
        <v>2127</v>
      </c>
      <c r="M1403" s="1468">
        <v>2.462E-2</v>
      </c>
      <c r="N1403" s="1469">
        <v>1.4838010851325831</v>
      </c>
      <c r="O1403" s="1469"/>
    </row>
    <row r="1404" spans="11:15">
      <c r="K1404" s="1466">
        <v>43461</v>
      </c>
      <c r="L1404" s="1467" t="s">
        <v>2127</v>
      </c>
      <c r="M1404" s="1468">
        <v>2.462E-2</v>
      </c>
      <c r="N1404" s="1469">
        <v>1.484166396959743</v>
      </c>
      <c r="O1404" s="1469"/>
    </row>
    <row r="1405" spans="11:15">
      <c r="K1405" s="1466">
        <v>43462</v>
      </c>
      <c r="L1405" s="1467" t="s">
        <v>2127</v>
      </c>
      <c r="M1405" s="1468">
        <v>2.462E-2</v>
      </c>
      <c r="N1405" s="1469">
        <v>1.4845317987266746</v>
      </c>
      <c r="O1405" s="1469"/>
    </row>
    <row r="1406" spans="11:15">
      <c r="K1406" s="1466">
        <v>43463</v>
      </c>
      <c r="L1406" s="1467"/>
      <c r="M1406" s="1468">
        <v>0</v>
      </c>
      <c r="N1406" s="1469">
        <v>1.4845317987266746</v>
      </c>
      <c r="O1406" s="1469"/>
    </row>
    <row r="1407" spans="11:15">
      <c r="K1407" s="1466">
        <v>43464</v>
      </c>
      <c r="L1407" s="1467"/>
      <c r="M1407" s="1468">
        <v>0</v>
      </c>
      <c r="N1407" s="1469">
        <v>1.4845317987266746</v>
      </c>
      <c r="O1407" s="1469"/>
    </row>
    <row r="1408" spans="11:15">
      <c r="K1408" s="1466">
        <v>43465</v>
      </c>
      <c r="L1408" s="1467" t="s">
        <v>2127</v>
      </c>
      <c r="M1408" s="1468">
        <v>2.462E-2</v>
      </c>
      <c r="N1408" s="1469">
        <v>1.4848972904555213</v>
      </c>
      <c r="O1408" s="1469"/>
    </row>
    <row r="1409" spans="11:15">
      <c r="K1409" s="1466">
        <v>43466</v>
      </c>
      <c r="L1409" s="1467"/>
      <c r="M1409" s="1468">
        <v>0</v>
      </c>
      <c r="N1409" s="1469">
        <v>1.4848972904555213</v>
      </c>
      <c r="O1409" s="1469"/>
    </row>
    <row r="1410" spans="11:15">
      <c r="K1410" s="1466">
        <v>43467</v>
      </c>
      <c r="L1410" s="1467" t="s">
        <v>2127</v>
      </c>
      <c r="M1410" s="1468">
        <v>2.462E-2</v>
      </c>
      <c r="N1410" s="1469">
        <v>1.4852628721684316</v>
      </c>
      <c r="O1410" s="1469"/>
    </row>
    <row r="1411" spans="11:15">
      <c r="K1411" s="1466">
        <v>43468</v>
      </c>
      <c r="L1411" s="1467" t="s">
        <v>2127</v>
      </c>
      <c r="M1411" s="1468">
        <v>2.462E-2</v>
      </c>
      <c r="N1411" s="1469">
        <v>1.4856285438875596</v>
      </c>
      <c r="O1411" s="1469"/>
    </row>
    <row r="1412" spans="11:15">
      <c r="K1412" s="1466">
        <v>43469</v>
      </c>
      <c r="L1412" s="1467" t="s">
        <v>2127</v>
      </c>
      <c r="M1412" s="1468">
        <v>2.462E-2</v>
      </c>
      <c r="N1412" s="1469">
        <v>1.4859943056350648</v>
      </c>
      <c r="O1412" s="1469"/>
    </row>
    <row r="1413" spans="11:15">
      <c r="K1413" s="1466">
        <v>43470</v>
      </c>
      <c r="L1413" s="1467"/>
      <c r="M1413" s="1468">
        <v>0</v>
      </c>
      <c r="N1413" s="1469">
        <v>1.4859943056350648</v>
      </c>
      <c r="O1413" s="1469"/>
    </row>
    <row r="1414" spans="11:15">
      <c r="K1414" s="1466">
        <v>43471</v>
      </c>
      <c r="L1414" s="1467"/>
      <c r="M1414" s="1468">
        <v>0</v>
      </c>
      <c r="N1414" s="1469">
        <v>1.4859943056350648</v>
      </c>
      <c r="O1414" s="1469"/>
    </row>
    <row r="1415" spans="11:15">
      <c r="K1415" s="1466">
        <v>43472</v>
      </c>
      <c r="L1415" s="1467" t="s">
        <v>2127</v>
      </c>
      <c r="M1415" s="1468">
        <v>2.462E-2</v>
      </c>
      <c r="N1415" s="1469">
        <v>1.4863601574331122</v>
      </c>
      <c r="O1415" s="1469"/>
    </row>
    <row r="1416" spans="11:15">
      <c r="K1416" s="1466">
        <v>43473</v>
      </c>
      <c r="L1416" s="1467" t="s">
        <v>2127</v>
      </c>
      <c r="M1416" s="1468">
        <v>2.462E-2</v>
      </c>
      <c r="N1416" s="1469">
        <v>1.4867260993038725</v>
      </c>
      <c r="O1416" s="1469"/>
    </row>
    <row r="1417" spans="11:15">
      <c r="K1417" s="1466">
        <v>43474</v>
      </c>
      <c r="L1417" s="1467" t="s">
        <v>2127</v>
      </c>
      <c r="M1417" s="1468">
        <v>2.462E-2</v>
      </c>
      <c r="N1417" s="1469">
        <v>1.4870921312695211</v>
      </c>
      <c r="O1417" s="1469"/>
    </row>
    <row r="1418" spans="11:15">
      <c r="K1418" s="1466">
        <v>43475</v>
      </c>
      <c r="L1418" s="1467" t="s">
        <v>2127</v>
      </c>
      <c r="M1418" s="1468">
        <v>2.462E-2</v>
      </c>
      <c r="N1418" s="1469">
        <v>1.4874582533522398</v>
      </c>
      <c r="O1418" s="1469"/>
    </row>
    <row r="1419" spans="11:15">
      <c r="K1419" s="1466">
        <v>43476</v>
      </c>
      <c r="L1419" s="1467" t="s">
        <v>2127</v>
      </c>
      <c r="M1419" s="1468">
        <v>2.462E-2</v>
      </c>
      <c r="N1419" s="1469">
        <v>1.4878244655742152</v>
      </c>
      <c r="O1419" s="1469"/>
    </row>
    <row r="1420" spans="11:15">
      <c r="K1420" s="1466">
        <v>43477</v>
      </c>
      <c r="L1420" s="1467"/>
      <c r="M1420" s="1468">
        <v>0</v>
      </c>
      <c r="N1420" s="1469">
        <v>1.4878244655742152</v>
      </c>
      <c r="O1420" s="1469"/>
    </row>
    <row r="1421" spans="11:15">
      <c r="K1421" s="1466">
        <v>43478</v>
      </c>
      <c r="L1421" s="1467"/>
      <c r="M1421" s="1468">
        <v>0</v>
      </c>
      <c r="N1421" s="1469">
        <v>1.4878244655742152</v>
      </c>
      <c r="O1421" s="1469"/>
    </row>
    <row r="1422" spans="11:15">
      <c r="K1422" s="1466">
        <v>43479</v>
      </c>
      <c r="L1422" s="1467" t="s">
        <v>2127</v>
      </c>
      <c r="M1422" s="1468">
        <v>2.462E-2</v>
      </c>
      <c r="N1422" s="1469">
        <v>1.4881907679576396</v>
      </c>
      <c r="O1422" s="1469"/>
    </row>
    <row r="1423" spans="11:15">
      <c r="K1423" s="1466">
        <v>43480</v>
      </c>
      <c r="L1423" s="1467" t="s">
        <v>2127</v>
      </c>
      <c r="M1423" s="1468">
        <v>2.462E-2</v>
      </c>
      <c r="N1423" s="1469">
        <v>1.488557160524711</v>
      </c>
      <c r="O1423" s="1469"/>
    </row>
    <row r="1424" spans="11:15">
      <c r="K1424" s="1466">
        <v>43481</v>
      </c>
      <c r="L1424" s="1467" t="s">
        <v>2127</v>
      </c>
      <c r="M1424" s="1468">
        <v>2.462E-2</v>
      </c>
      <c r="N1424" s="1469">
        <v>1.4889236432976323</v>
      </c>
      <c r="O1424" s="1469"/>
    </row>
    <row r="1425" spans="11:15">
      <c r="K1425" s="1466">
        <v>43482</v>
      </c>
      <c r="L1425" s="1467" t="s">
        <v>2127</v>
      </c>
      <c r="M1425" s="1468">
        <v>2.462E-2</v>
      </c>
      <c r="N1425" s="1469">
        <v>1.4892902162986124</v>
      </c>
      <c r="O1425" s="1469"/>
    </row>
    <row r="1426" spans="11:15">
      <c r="K1426" s="1466">
        <v>43483</v>
      </c>
      <c r="L1426" s="1467" t="s">
        <v>2127</v>
      </c>
      <c r="M1426" s="1468">
        <v>2.462E-2</v>
      </c>
      <c r="N1426" s="1469">
        <v>1.4896568795498653</v>
      </c>
      <c r="O1426" s="1469"/>
    </row>
    <row r="1427" spans="11:15">
      <c r="K1427" s="1466">
        <v>43484</v>
      </c>
      <c r="L1427" s="1467"/>
      <c r="M1427" s="1468">
        <v>0</v>
      </c>
      <c r="N1427" s="1469">
        <v>1.4896568795498653</v>
      </c>
      <c r="O1427" s="1469"/>
    </row>
    <row r="1428" spans="11:15">
      <c r="K1428" s="1466">
        <v>43485</v>
      </c>
      <c r="L1428" s="1467"/>
      <c r="M1428" s="1468">
        <v>0</v>
      </c>
      <c r="N1428" s="1469">
        <v>1.4896568795498653</v>
      </c>
      <c r="O1428" s="1469"/>
    </row>
    <row r="1429" spans="11:15">
      <c r="K1429" s="1466">
        <v>43486</v>
      </c>
      <c r="L1429" s="1467" t="s">
        <v>2127</v>
      </c>
      <c r="M1429" s="1468">
        <v>2.462E-2</v>
      </c>
      <c r="N1429" s="1469">
        <v>1.4900236330736105</v>
      </c>
      <c r="O1429" s="1469"/>
    </row>
    <row r="1430" spans="11:15">
      <c r="K1430" s="1466">
        <v>43487</v>
      </c>
      <c r="L1430" s="1467" t="s">
        <v>2127</v>
      </c>
      <c r="M1430" s="1468">
        <v>2.462E-2</v>
      </c>
      <c r="N1430" s="1469">
        <v>1.4903904768920733</v>
      </c>
      <c r="O1430" s="1469"/>
    </row>
    <row r="1431" spans="11:15">
      <c r="K1431" s="1466">
        <v>43488</v>
      </c>
      <c r="L1431" s="1467" t="s">
        <v>2127</v>
      </c>
      <c r="M1431" s="1468">
        <v>2.462E-2</v>
      </c>
      <c r="N1431" s="1469">
        <v>1.4907574110274842</v>
      </c>
      <c r="O1431" s="1469"/>
    </row>
    <row r="1432" spans="11:15">
      <c r="K1432" s="1466">
        <v>43489</v>
      </c>
      <c r="L1432" s="1467" t="s">
        <v>2127</v>
      </c>
      <c r="M1432" s="1468">
        <v>2.462E-2</v>
      </c>
      <c r="N1432" s="1469">
        <v>1.4911244355020792</v>
      </c>
      <c r="O1432" s="1469"/>
    </row>
    <row r="1433" spans="11:15">
      <c r="K1433" s="1466">
        <v>43490</v>
      </c>
      <c r="L1433" s="1467" t="s">
        <v>2127</v>
      </c>
      <c r="M1433" s="1468">
        <v>2.462E-2</v>
      </c>
      <c r="N1433" s="1469">
        <v>1.4914915503380999</v>
      </c>
      <c r="O1433" s="1469"/>
    </row>
    <row r="1434" spans="11:15">
      <c r="K1434" s="1466">
        <v>43491</v>
      </c>
      <c r="L1434" s="1467"/>
      <c r="M1434" s="1468">
        <v>0</v>
      </c>
      <c r="N1434" s="1469">
        <v>1.4914915503380999</v>
      </c>
      <c r="O1434" s="1469"/>
    </row>
    <row r="1435" spans="11:15">
      <c r="K1435" s="1466">
        <v>43492</v>
      </c>
      <c r="L1435" s="1467"/>
      <c r="M1435" s="1468">
        <v>0</v>
      </c>
      <c r="N1435" s="1469">
        <v>1.4914915503380999</v>
      </c>
      <c r="O1435" s="1469"/>
    </row>
    <row r="1436" spans="11:15">
      <c r="K1436" s="1466">
        <v>43493</v>
      </c>
      <c r="L1436" s="1467" t="s">
        <v>2127</v>
      </c>
      <c r="M1436" s="1468">
        <v>2.462E-2</v>
      </c>
      <c r="N1436" s="1469">
        <v>1.4918587555577933</v>
      </c>
      <c r="O1436" s="1469"/>
    </row>
    <row r="1437" spans="11:15">
      <c r="K1437" s="1466">
        <v>43494</v>
      </c>
      <c r="L1437" s="1467" t="s">
        <v>2127</v>
      </c>
      <c r="M1437" s="1468">
        <v>2.462E-2</v>
      </c>
      <c r="N1437" s="1469">
        <v>1.4922260511834118</v>
      </c>
      <c r="O1437" s="1469"/>
    </row>
    <row r="1438" spans="11:15">
      <c r="K1438" s="1466">
        <v>43495</v>
      </c>
      <c r="L1438" s="1467" t="s">
        <v>2127</v>
      </c>
      <c r="M1438" s="1468">
        <v>2.462E-2</v>
      </c>
      <c r="N1438" s="1469">
        <v>1.4925934372372132</v>
      </c>
      <c r="O1438" s="1469"/>
    </row>
    <row r="1439" spans="11:15">
      <c r="K1439" s="1466">
        <v>43496</v>
      </c>
      <c r="L1439" s="1467" t="s">
        <v>2127</v>
      </c>
      <c r="M1439" s="1468">
        <v>2.462E-2</v>
      </c>
      <c r="N1439" s="1469">
        <v>1.492960913741461</v>
      </c>
      <c r="O1439" s="1469"/>
    </row>
    <row r="1440" spans="11:15">
      <c r="K1440" s="1466">
        <v>43497</v>
      </c>
      <c r="L1440" s="1467" t="s">
        <v>2127</v>
      </c>
      <c r="M1440" s="1468">
        <v>2.462E-2</v>
      </c>
      <c r="N1440" s="1469">
        <v>1.4933284807184244</v>
      </c>
      <c r="O1440" s="1469"/>
    </row>
    <row r="1441" spans="11:15">
      <c r="K1441" s="1466">
        <v>43498</v>
      </c>
      <c r="L1441" s="1467"/>
      <c r="M1441" s="1468">
        <v>0</v>
      </c>
      <c r="N1441" s="1469">
        <v>1.4933284807184244</v>
      </c>
      <c r="O1441" s="1469"/>
    </row>
    <row r="1442" spans="11:15">
      <c r="K1442" s="1466">
        <v>43499</v>
      </c>
      <c r="L1442" s="1467"/>
      <c r="M1442" s="1468">
        <v>0</v>
      </c>
      <c r="N1442" s="1469">
        <v>1.4933284807184244</v>
      </c>
      <c r="O1442" s="1469"/>
    </row>
    <row r="1443" spans="11:15">
      <c r="K1443" s="1466">
        <v>43500</v>
      </c>
      <c r="L1443" s="1467" t="s">
        <v>2127</v>
      </c>
      <c r="M1443" s="1468">
        <v>2.462E-2</v>
      </c>
      <c r="N1443" s="1469">
        <v>1.4936961381903775</v>
      </c>
      <c r="O1443" s="1469"/>
    </row>
    <row r="1444" spans="11:15">
      <c r="K1444" s="1466">
        <v>43501</v>
      </c>
      <c r="L1444" s="1467" t="s">
        <v>2127</v>
      </c>
      <c r="M1444" s="1468">
        <v>2.462E-2</v>
      </c>
      <c r="N1444" s="1469">
        <v>1.4940638861796001</v>
      </c>
      <c r="O1444" s="1469"/>
    </row>
    <row r="1445" spans="11:15">
      <c r="K1445" s="1466">
        <v>43502</v>
      </c>
      <c r="L1445" s="1467" t="s">
        <v>2127</v>
      </c>
      <c r="M1445" s="1468">
        <v>2.462E-2</v>
      </c>
      <c r="N1445" s="1469">
        <v>1.4944317247083776</v>
      </c>
      <c r="O1445" s="1469"/>
    </row>
    <row r="1446" spans="11:15">
      <c r="K1446" s="1466">
        <v>43503</v>
      </c>
      <c r="L1446" s="1467" t="s">
        <v>2127</v>
      </c>
      <c r="M1446" s="1468">
        <v>2.462E-2</v>
      </c>
      <c r="N1446" s="1469">
        <v>1.4947996537990009</v>
      </c>
      <c r="O1446" s="1469"/>
    </row>
    <row r="1447" spans="11:15">
      <c r="K1447" s="1466">
        <v>43504</v>
      </c>
      <c r="L1447" s="1467" t="s">
        <v>2127</v>
      </c>
      <c r="M1447" s="1468">
        <v>2.462E-2</v>
      </c>
      <c r="N1447" s="1469">
        <v>1.4951676734737664</v>
      </c>
      <c r="O1447" s="1469"/>
    </row>
    <row r="1448" spans="11:15">
      <c r="K1448" s="1466">
        <v>43505</v>
      </c>
      <c r="L1448" s="1467"/>
      <c r="M1448" s="1468">
        <v>0</v>
      </c>
      <c r="N1448" s="1469">
        <v>1.4951676734737664</v>
      </c>
      <c r="O1448" s="1469"/>
    </row>
    <row r="1449" spans="11:15">
      <c r="K1449" s="1466">
        <v>43506</v>
      </c>
      <c r="L1449" s="1467"/>
      <c r="M1449" s="1468">
        <v>0</v>
      </c>
      <c r="N1449" s="1469">
        <v>1.4951676734737664</v>
      </c>
      <c r="O1449" s="1469"/>
    </row>
    <row r="1450" spans="11:15">
      <c r="K1450" s="1466">
        <v>43507</v>
      </c>
      <c r="L1450" s="1467" t="s">
        <v>2127</v>
      </c>
      <c r="M1450" s="1468">
        <v>2.462E-2</v>
      </c>
      <c r="N1450" s="1469">
        <v>1.4955357837549759</v>
      </c>
      <c r="O1450" s="1469"/>
    </row>
    <row r="1451" spans="11:15">
      <c r="K1451" s="1466">
        <v>43508</v>
      </c>
      <c r="L1451" s="1467" t="s">
        <v>2127</v>
      </c>
      <c r="M1451" s="1468">
        <v>2.462E-2</v>
      </c>
      <c r="N1451" s="1469">
        <v>1.4959039846649365</v>
      </c>
      <c r="O1451" s="1469"/>
    </row>
    <row r="1452" spans="11:15">
      <c r="K1452" s="1466">
        <v>43509</v>
      </c>
      <c r="L1452" s="1467" t="s">
        <v>2127</v>
      </c>
      <c r="M1452" s="1468">
        <v>2.462E-2</v>
      </c>
      <c r="N1452" s="1469">
        <v>1.496272276225961</v>
      </c>
      <c r="O1452" s="1469"/>
    </row>
    <row r="1453" spans="11:15">
      <c r="K1453" s="1466">
        <v>43510</v>
      </c>
      <c r="L1453" s="1467" t="s">
        <v>2127</v>
      </c>
      <c r="M1453" s="1468">
        <v>2.462E-2</v>
      </c>
      <c r="N1453" s="1469">
        <v>1.496640658460368</v>
      </c>
      <c r="O1453" s="1469"/>
    </row>
    <row r="1454" spans="11:15">
      <c r="K1454" s="1466">
        <v>43511</v>
      </c>
      <c r="L1454" s="1467" t="s">
        <v>2127</v>
      </c>
      <c r="M1454" s="1468">
        <v>2.462E-2</v>
      </c>
      <c r="N1454" s="1469">
        <v>1.497009131390481</v>
      </c>
      <c r="O1454" s="1469"/>
    </row>
    <row r="1455" spans="11:15">
      <c r="K1455" s="1466">
        <v>43512</v>
      </c>
      <c r="L1455" s="1467"/>
      <c r="M1455" s="1468">
        <v>0</v>
      </c>
      <c r="N1455" s="1469">
        <v>1.497009131390481</v>
      </c>
      <c r="O1455" s="1469"/>
    </row>
    <row r="1456" spans="11:15">
      <c r="K1456" s="1466">
        <v>43513</v>
      </c>
      <c r="L1456" s="1467"/>
      <c r="M1456" s="1468">
        <v>0</v>
      </c>
      <c r="N1456" s="1469">
        <v>1.497009131390481</v>
      </c>
      <c r="O1456" s="1469"/>
    </row>
    <row r="1457" spans="11:15">
      <c r="K1457" s="1466">
        <v>43514</v>
      </c>
      <c r="L1457" s="1467" t="s">
        <v>2127</v>
      </c>
      <c r="M1457" s="1468">
        <v>2.462E-2</v>
      </c>
      <c r="N1457" s="1469">
        <v>1.4973776950386295</v>
      </c>
      <c r="O1457" s="1469"/>
    </row>
    <row r="1458" spans="11:15">
      <c r="K1458" s="1466">
        <v>43515</v>
      </c>
      <c r="L1458" s="1467" t="s">
        <v>2127</v>
      </c>
      <c r="M1458" s="1468">
        <v>2.462E-2</v>
      </c>
      <c r="N1458" s="1469">
        <v>1.4977463494271481</v>
      </c>
      <c r="O1458" s="1469"/>
    </row>
    <row r="1459" spans="11:15">
      <c r="K1459" s="1466">
        <v>43516</v>
      </c>
      <c r="L1459" s="1467" t="s">
        <v>2127</v>
      </c>
      <c r="M1459" s="1468">
        <v>2.462E-2</v>
      </c>
      <c r="N1459" s="1469">
        <v>1.4981150945783772</v>
      </c>
      <c r="O1459" s="1469"/>
    </row>
    <row r="1460" spans="11:15">
      <c r="K1460" s="1466">
        <v>43517</v>
      </c>
      <c r="L1460" s="1467" t="s">
        <v>2127</v>
      </c>
      <c r="M1460" s="1468">
        <v>2.462E-2</v>
      </c>
      <c r="N1460" s="1469">
        <v>1.4984839305146624</v>
      </c>
      <c r="O1460" s="1469"/>
    </row>
    <row r="1461" spans="11:15">
      <c r="K1461" s="1466">
        <v>43518</v>
      </c>
      <c r="L1461" s="1467" t="s">
        <v>2127</v>
      </c>
      <c r="M1461" s="1468">
        <v>2.462E-2</v>
      </c>
      <c r="N1461" s="1469">
        <v>1.4988528572583553</v>
      </c>
      <c r="O1461" s="1469"/>
    </row>
    <row r="1462" spans="11:15">
      <c r="K1462" s="1466">
        <v>43519</v>
      </c>
      <c r="L1462" s="1467"/>
      <c r="M1462" s="1468">
        <v>0</v>
      </c>
      <c r="N1462" s="1469">
        <v>1.4988528572583553</v>
      </c>
      <c r="O1462" s="1469"/>
    </row>
    <row r="1463" spans="11:15">
      <c r="K1463" s="1466">
        <v>43520</v>
      </c>
      <c r="L1463" s="1467"/>
      <c r="M1463" s="1468">
        <v>0</v>
      </c>
      <c r="N1463" s="1469">
        <v>1.4988528572583553</v>
      </c>
      <c r="O1463" s="1469"/>
    </row>
    <row r="1464" spans="11:15">
      <c r="K1464" s="1466">
        <v>43521</v>
      </c>
      <c r="L1464" s="1467" t="s">
        <v>2127</v>
      </c>
      <c r="M1464" s="1468">
        <v>2.462E-2</v>
      </c>
      <c r="N1464" s="1469">
        <v>1.4992218748318125</v>
      </c>
      <c r="O1464" s="1469"/>
    </row>
    <row r="1465" spans="11:15">
      <c r="K1465" s="1466">
        <v>43522</v>
      </c>
      <c r="L1465" s="1467" t="s">
        <v>2127</v>
      </c>
      <c r="M1465" s="1468">
        <v>2.462E-2</v>
      </c>
      <c r="N1465" s="1469">
        <v>1.4995909832573961</v>
      </c>
      <c r="O1465" s="1469"/>
    </row>
    <row r="1466" spans="11:15">
      <c r="K1466" s="1466">
        <v>43523</v>
      </c>
      <c r="L1466" s="1467" t="s">
        <v>2127</v>
      </c>
      <c r="M1466" s="1468">
        <v>2.462E-2</v>
      </c>
      <c r="N1466" s="1469">
        <v>1.4999601825574742</v>
      </c>
      <c r="O1466" s="1469"/>
    </row>
    <row r="1467" spans="11:15">
      <c r="K1467" s="1466">
        <v>43524</v>
      </c>
      <c r="L1467" s="1467" t="s">
        <v>2127</v>
      </c>
      <c r="M1467" s="1468">
        <v>2.462E-2</v>
      </c>
      <c r="N1467" s="1469">
        <v>1.5003294727544201</v>
      </c>
      <c r="O1467" s="1469"/>
    </row>
    <row r="1468" spans="11:15">
      <c r="K1468" s="1466">
        <v>43525</v>
      </c>
      <c r="L1468" s="1467" t="s">
        <v>2127</v>
      </c>
      <c r="M1468" s="1468">
        <v>2.462E-2</v>
      </c>
      <c r="N1468" s="1469">
        <v>1.5006988538706123</v>
      </c>
      <c r="O1468" s="1469"/>
    </row>
    <row r="1469" spans="11:15">
      <c r="K1469" s="1466">
        <v>43526</v>
      </c>
      <c r="L1469" s="1467"/>
      <c r="M1469" s="1468">
        <v>0</v>
      </c>
      <c r="N1469" s="1469">
        <v>1.5006988538706123</v>
      </c>
      <c r="O1469" s="1469"/>
    </row>
    <row r="1470" spans="11:15">
      <c r="K1470" s="1466">
        <v>43527</v>
      </c>
      <c r="L1470" s="1467"/>
      <c r="M1470" s="1468">
        <v>0</v>
      </c>
      <c r="N1470" s="1469">
        <v>1.5006988538706123</v>
      </c>
      <c r="O1470" s="1469"/>
    </row>
    <row r="1471" spans="11:15">
      <c r="K1471" s="1466">
        <v>43528</v>
      </c>
      <c r="L1471" s="1467"/>
      <c r="M1471" s="1468">
        <v>0</v>
      </c>
      <c r="N1471" s="1469">
        <v>1.5006988538706123</v>
      </c>
      <c r="O1471" s="1469"/>
    </row>
    <row r="1472" spans="11:15">
      <c r="K1472" s="1466">
        <v>43529</v>
      </c>
      <c r="L1472" s="1467"/>
      <c r="M1472" s="1468">
        <v>0</v>
      </c>
      <c r="N1472" s="1469">
        <v>1.5006988538706123</v>
      </c>
      <c r="O1472" s="1469"/>
    </row>
    <row r="1473" spans="11:15">
      <c r="K1473" s="1466">
        <v>43530</v>
      </c>
      <c r="L1473" s="1467" t="s">
        <v>2127</v>
      </c>
      <c r="M1473" s="1468">
        <v>2.462E-2</v>
      </c>
      <c r="N1473" s="1469">
        <v>1.5010683259284354</v>
      </c>
      <c r="O1473" s="1469"/>
    </row>
    <row r="1474" spans="11:15">
      <c r="K1474" s="1466">
        <v>43531</v>
      </c>
      <c r="L1474" s="1467" t="s">
        <v>2127</v>
      </c>
      <c r="M1474" s="1468">
        <v>2.462E-2</v>
      </c>
      <c r="N1474" s="1469">
        <v>1.5014378889502791</v>
      </c>
      <c r="O1474" s="1469"/>
    </row>
    <row r="1475" spans="11:15">
      <c r="K1475" s="1466">
        <v>43532</v>
      </c>
      <c r="L1475" s="1467" t="s">
        <v>2127</v>
      </c>
      <c r="M1475" s="1468">
        <v>2.462E-2</v>
      </c>
      <c r="N1475" s="1469">
        <v>1.5018075429585387</v>
      </c>
      <c r="O1475" s="1469"/>
    </row>
    <row r="1476" spans="11:15">
      <c r="K1476" s="1466">
        <v>43533</v>
      </c>
      <c r="L1476" s="1467"/>
      <c r="M1476" s="1468">
        <v>0</v>
      </c>
      <c r="N1476" s="1469">
        <v>1.5018075429585387</v>
      </c>
      <c r="O1476" s="1469"/>
    </row>
    <row r="1477" spans="11:15">
      <c r="K1477" s="1466">
        <v>43534</v>
      </c>
      <c r="L1477" s="1467"/>
      <c r="M1477" s="1468">
        <v>0</v>
      </c>
      <c r="N1477" s="1469">
        <v>1.5018075429585387</v>
      </c>
      <c r="O1477" s="1469"/>
    </row>
    <row r="1478" spans="11:15">
      <c r="K1478" s="1466">
        <v>43535</v>
      </c>
      <c r="L1478" s="1467" t="s">
        <v>2127</v>
      </c>
      <c r="M1478" s="1468">
        <v>2.462E-2</v>
      </c>
      <c r="N1478" s="1469">
        <v>1.5021772879756152</v>
      </c>
      <c r="O1478" s="1469"/>
    </row>
    <row r="1479" spans="11:15">
      <c r="K1479" s="1466">
        <v>43536</v>
      </c>
      <c r="L1479" s="1467" t="s">
        <v>2127</v>
      </c>
      <c r="M1479" s="1468">
        <v>2.462E-2</v>
      </c>
      <c r="N1479" s="1469">
        <v>1.502547124023915</v>
      </c>
      <c r="O1479" s="1469"/>
    </row>
    <row r="1480" spans="11:15">
      <c r="K1480" s="1466">
        <v>43537</v>
      </c>
      <c r="L1480" s="1467" t="s">
        <v>2127</v>
      </c>
      <c r="M1480" s="1468">
        <v>2.462E-2</v>
      </c>
      <c r="N1480" s="1469">
        <v>1.5029170511258498</v>
      </c>
      <c r="O1480" s="1469"/>
    </row>
    <row r="1481" spans="11:15">
      <c r="K1481" s="1466">
        <v>43538</v>
      </c>
      <c r="L1481" s="1467" t="s">
        <v>2127</v>
      </c>
      <c r="M1481" s="1468">
        <v>2.462E-2</v>
      </c>
      <c r="N1481" s="1469">
        <v>1.5032870693038372</v>
      </c>
      <c r="O1481" s="1469"/>
    </row>
    <row r="1482" spans="11:15">
      <c r="K1482" s="1466">
        <v>43539</v>
      </c>
      <c r="L1482" s="1467" t="s">
        <v>2127</v>
      </c>
      <c r="M1482" s="1468">
        <v>2.462E-2</v>
      </c>
      <c r="N1482" s="1469">
        <v>1.5036571785802999</v>
      </c>
      <c r="O1482" s="1469"/>
    </row>
    <row r="1483" spans="11:15">
      <c r="K1483" s="1466">
        <v>43540</v>
      </c>
      <c r="L1483" s="1467"/>
      <c r="M1483" s="1468">
        <v>0</v>
      </c>
      <c r="N1483" s="1469">
        <v>1.5036571785802999</v>
      </c>
      <c r="O1483" s="1469"/>
    </row>
    <row r="1484" spans="11:15">
      <c r="K1484" s="1466">
        <v>43541</v>
      </c>
      <c r="L1484" s="1467"/>
      <c r="M1484" s="1468">
        <v>0</v>
      </c>
      <c r="N1484" s="1469">
        <v>1.5036571785802999</v>
      </c>
      <c r="O1484" s="1469"/>
    </row>
    <row r="1485" spans="11:15">
      <c r="K1485" s="1466">
        <v>43542</v>
      </c>
      <c r="L1485" s="1467" t="s">
        <v>2127</v>
      </c>
      <c r="M1485" s="1468">
        <v>2.462E-2</v>
      </c>
      <c r="N1485" s="1469">
        <v>1.5040273789776666</v>
      </c>
      <c r="O1485" s="1469"/>
    </row>
    <row r="1486" spans="11:15">
      <c r="K1486" s="1466">
        <v>43543</v>
      </c>
      <c r="L1486" s="1467" t="s">
        <v>2127</v>
      </c>
      <c r="M1486" s="1468">
        <v>2.462E-2</v>
      </c>
      <c r="N1486" s="1469">
        <v>1.504397670518371</v>
      </c>
      <c r="O1486" s="1469"/>
    </row>
    <row r="1487" spans="11:15">
      <c r="K1487" s="1466">
        <v>43544</v>
      </c>
      <c r="L1487" s="1467" t="s">
        <v>2127</v>
      </c>
      <c r="M1487" s="1468">
        <v>2.462E-2</v>
      </c>
      <c r="N1487" s="1469">
        <v>1.5047680532248529</v>
      </c>
      <c r="O1487" s="1469"/>
    </row>
    <row r="1488" spans="11:15">
      <c r="K1488" s="1466">
        <v>43545</v>
      </c>
      <c r="L1488" s="1467" t="s">
        <v>2127</v>
      </c>
      <c r="M1488" s="1468">
        <v>2.462E-2</v>
      </c>
      <c r="N1488" s="1469">
        <v>1.505138527119557</v>
      </c>
      <c r="O1488" s="1469"/>
    </row>
    <row r="1489" spans="11:15">
      <c r="K1489" s="1466">
        <v>43546</v>
      </c>
      <c r="L1489" s="1467" t="s">
        <v>2127</v>
      </c>
      <c r="M1489" s="1468">
        <v>2.462E-2</v>
      </c>
      <c r="N1489" s="1469">
        <v>1.5055090922249339</v>
      </c>
      <c r="O1489" s="1469"/>
    </row>
    <row r="1490" spans="11:15">
      <c r="K1490" s="1466">
        <v>43547</v>
      </c>
      <c r="L1490" s="1467"/>
      <c r="M1490" s="1468">
        <v>0</v>
      </c>
      <c r="N1490" s="1469">
        <v>1.5055090922249339</v>
      </c>
      <c r="O1490" s="1469"/>
    </row>
    <row r="1491" spans="11:15">
      <c r="K1491" s="1466">
        <v>43548</v>
      </c>
      <c r="L1491" s="1467"/>
      <c r="M1491" s="1468">
        <v>0</v>
      </c>
      <c r="N1491" s="1469">
        <v>1.5055090922249339</v>
      </c>
      <c r="O1491" s="1469"/>
    </row>
    <row r="1492" spans="11:15">
      <c r="K1492" s="1466">
        <v>43549</v>
      </c>
      <c r="L1492" s="1467" t="s">
        <v>2127</v>
      </c>
      <c r="M1492" s="1468">
        <v>2.462E-2</v>
      </c>
      <c r="N1492" s="1469">
        <v>1.5058797485634399</v>
      </c>
      <c r="O1492" s="1469"/>
    </row>
    <row r="1493" spans="11:15">
      <c r="K1493" s="1466">
        <v>43550</v>
      </c>
      <c r="L1493" s="1467" t="s">
        <v>2127</v>
      </c>
      <c r="M1493" s="1468">
        <v>2.462E-2</v>
      </c>
      <c r="N1493" s="1469">
        <v>1.5062504961575363</v>
      </c>
      <c r="O1493" s="1469"/>
    </row>
    <row r="1494" spans="11:15">
      <c r="K1494" s="1466">
        <v>43551</v>
      </c>
      <c r="L1494" s="1467" t="s">
        <v>2127</v>
      </c>
      <c r="M1494" s="1468">
        <v>2.462E-2</v>
      </c>
      <c r="N1494" s="1469">
        <v>1.5066213350296904</v>
      </c>
      <c r="O1494" s="1469"/>
    </row>
    <row r="1495" spans="11:15">
      <c r="K1495" s="1466">
        <v>43552</v>
      </c>
      <c r="L1495" s="1467" t="s">
        <v>2127</v>
      </c>
      <c r="M1495" s="1468">
        <v>2.462E-2</v>
      </c>
      <c r="N1495" s="1469">
        <v>1.5069922652023748</v>
      </c>
      <c r="O1495" s="1469"/>
    </row>
    <row r="1496" spans="11:15">
      <c r="K1496" s="1466">
        <v>43553</v>
      </c>
      <c r="L1496" s="1467" t="s">
        <v>2127</v>
      </c>
      <c r="M1496" s="1468">
        <v>2.462E-2</v>
      </c>
      <c r="N1496" s="1469">
        <v>1.5073632866980677</v>
      </c>
      <c r="O1496" s="1469"/>
    </row>
    <row r="1497" spans="11:15">
      <c r="K1497" s="1466">
        <v>43554</v>
      </c>
      <c r="L1497" s="1467"/>
      <c r="M1497" s="1468">
        <v>0</v>
      </c>
      <c r="N1497" s="1469">
        <v>1.5073632866980677</v>
      </c>
      <c r="O1497" s="1469"/>
    </row>
    <row r="1498" spans="11:15">
      <c r="K1498" s="1466">
        <v>43555</v>
      </c>
      <c r="L1498" s="1467"/>
      <c r="M1498" s="1468">
        <v>0</v>
      </c>
      <c r="N1498" s="1469">
        <v>1.5073632866980677</v>
      </c>
      <c r="O1498" s="1469"/>
    </row>
    <row r="1499" spans="11:15">
      <c r="K1499" s="1466">
        <v>43556</v>
      </c>
      <c r="L1499" s="1467" t="s">
        <v>2127</v>
      </c>
      <c r="M1499" s="1468">
        <v>2.462E-2</v>
      </c>
      <c r="N1499" s="1469">
        <v>1.5077343995392529</v>
      </c>
      <c r="O1499" s="1469"/>
    </row>
    <row r="1500" spans="11:15">
      <c r="K1500" s="1466">
        <v>43557</v>
      </c>
      <c r="L1500" s="1467" t="s">
        <v>2127</v>
      </c>
      <c r="M1500" s="1468">
        <v>2.462E-2</v>
      </c>
      <c r="N1500" s="1469">
        <v>1.5081056037484195</v>
      </c>
      <c r="O1500" s="1469"/>
    </row>
    <row r="1501" spans="11:15">
      <c r="K1501" s="1466">
        <v>43558</v>
      </c>
      <c r="L1501" s="1467" t="s">
        <v>2127</v>
      </c>
      <c r="M1501" s="1468">
        <v>2.462E-2</v>
      </c>
      <c r="N1501" s="1469">
        <v>1.5084768993480624</v>
      </c>
      <c r="O1501" s="1469"/>
    </row>
    <row r="1502" spans="11:15">
      <c r="K1502" s="1466">
        <v>43559</v>
      </c>
      <c r="L1502" s="1467" t="s">
        <v>2127</v>
      </c>
      <c r="M1502" s="1468">
        <v>2.462E-2</v>
      </c>
      <c r="N1502" s="1469">
        <v>1.508848286360682</v>
      </c>
      <c r="O1502" s="1469"/>
    </row>
    <row r="1503" spans="11:15">
      <c r="K1503" s="1466">
        <v>43560</v>
      </c>
      <c r="L1503" s="1467" t="s">
        <v>2127</v>
      </c>
      <c r="M1503" s="1468">
        <v>2.462E-2</v>
      </c>
      <c r="N1503" s="1469">
        <v>1.5092197648087842</v>
      </c>
      <c r="O1503" s="1469"/>
    </row>
    <row r="1504" spans="11:15">
      <c r="K1504" s="1466">
        <v>43561</v>
      </c>
      <c r="L1504" s="1467"/>
      <c r="M1504" s="1468">
        <v>0</v>
      </c>
      <c r="N1504" s="1469">
        <v>1.5092197648087842</v>
      </c>
      <c r="O1504" s="1469"/>
    </row>
    <row r="1505" spans="11:15">
      <c r="K1505" s="1466">
        <v>43562</v>
      </c>
      <c r="L1505" s="1467"/>
      <c r="M1505" s="1468">
        <v>0</v>
      </c>
      <c r="N1505" s="1469">
        <v>1.5092197648087842</v>
      </c>
      <c r="O1505" s="1469"/>
    </row>
    <row r="1506" spans="11:15">
      <c r="K1506" s="1466">
        <v>43563</v>
      </c>
      <c r="L1506" s="1467" t="s">
        <v>2127</v>
      </c>
      <c r="M1506" s="1468">
        <v>2.462E-2</v>
      </c>
      <c r="N1506" s="1469">
        <v>1.5095913347148802</v>
      </c>
      <c r="O1506" s="1469"/>
    </row>
    <row r="1507" spans="11:15">
      <c r="K1507" s="1466">
        <v>43564</v>
      </c>
      <c r="L1507" s="1467" t="s">
        <v>2127</v>
      </c>
      <c r="M1507" s="1468">
        <v>2.462E-2</v>
      </c>
      <c r="N1507" s="1469">
        <v>1.5099629961014871</v>
      </c>
      <c r="O1507" s="1469"/>
    </row>
    <row r="1508" spans="11:15">
      <c r="K1508" s="1466">
        <v>43565</v>
      </c>
      <c r="L1508" s="1467" t="s">
        <v>2127</v>
      </c>
      <c r="M1508" s="1468">
        <v>2.462E-2</v>
      </c>
      <c r="N1508" s="1469">
        <v>1.5103347489911274</v>
      </c>
      <c r="O1508" s="1469"/>
    </row>
    <row r="1509" spans="11:15">
      <c r="K1509" s="1466">
        <v>43566</v>
      </c>
      <c r="L1509" s="1467" t="s">
        <v>2127</v>
      </c>
      <c r="M1509" s="1468">
        <v>2.462E-2</v>
      </c>
      <c r="N1509" s="1469">
        <v>1.5107065934063291</v>
      </c>
      <c r="O1509" s="1469"/>
    </row>
    <row r="1510" spans="11:15">
      <c r="K1510" s="1466">
        <v>43567</v>
      </c>
      <c r="L1510" s="1467" t="s">
        <v>2127</v>
      </c>
      <c r="M1510" s="1468">
        <v>2.462E-2</v>
      </c>
      <c r="N1510" s="1469">
        <v>1.5110785293696258</v>
      </c>
      <c r="O1510" s="1469"/>
    </row>
    <row r="1511" spans="11:15">
      <c r="K1511" s="1466">
        <v>43568</v>
      </c>
      <c r="L1511" s="1467"/>
      <c r="M1511" s="1468">
        <v>0</v>
      </c>
      <c r="N1511" s="1469">
        <v>1.5110785293696258</v>
      </c>
      <c r="O1511" s="1469"/>
    </row>
    <row r="1512" spans="11:15">
      <c r="K1512" s="1466">
        <v>43569</v>
      </c>
      <c r="L1512" s="1467"/>
      <c r="M1512" s="1468">
        <v>0</v>
      </c>
      <c r="N1512" s="1469">
        <v>1.5110785293696258</v>
      </c>
      <c r="O1512" s="1469"/>
    </row>
    <row r="1513" spans="11:15">
      <c r="K1513" s="1466">
        <v>43570</v>
      </c>
      <c r="L1513" s="1467" t="s">
        <v>2127</v>
      </c>
      <c r="M1513" s="1468">
        <v>2.462E-2</v>
      </c>
      <c r="N1513" s="1469">
        <v>1.5114505569035568</v>
      </c>
      <c r="O1513" s="1469"/>
    </row>
    <row r="1514" spans="11:15">
      <c r="K1514" s="1466">
        <v>43571</v>
      </c>
      <c r="L1514" s="1467" t="s">
        <v>2127</v>
      </c>
      <c r="M1514" s="1468">
        <v>2.462E-2</v>
      </c>
      <c r="N1514" s="1469">
        <v>1.5118226760306666</v>
      </c>
      <c r="O1514" s="1469"/>
    </row>
    <row r="1515" spans="11:15">
      <c r="K1515" s="1466">
        <v>43572</v>
      </c>
      <c r="L1515" s="1467" t="s">
        <v>2127</v>
      </c>
      <c r="M1515" s="1468">
        <v>2.462E-2</v>
      </c>
      <c r="N1515" s="1469">
        <v>1.5121948867735053</v>
      </c>
      <c r="O1515" s="1469"/>
    </row>
    <row r="1516" spans="11:15">
      <c r="K1516" s="1466">
        <v>43573</v>
      </c>
      <c r="L1516" s="1467" t="s">
        <v>2127</v>
      </c>
      <c r="M1516" s="1468">
        <v>2.462E-2</v>
      </c>
      <c r="N1516" s="1469">
        <v>1.5125671891546291</v>
      </c>
      <c r="O1516" s="1469"/>
    </row>
    <row r="1517" spans="11:15">
      <c r="K1517" s="1466">
        <v>43574</v>
      </c>
      <c r="L1517" s="1467"/>
      <c r="M1517" s="1468">
        <v>0</v>
      </c>
      <c r="N1517" s="1469">
        <v>1.5125671891546291</v>
      </c>
      <c r="O1517" s="1469"/>
    </row>
    <row r="1518" spans="11:15">
      <c r="K1518" s="1466">
        <v>43575</v>
      </c>
      <c r="L1518" s="1467"/>
      <c r="M1518" s="1468">
        <v>0</v>
      </c>
      <c r="N1518" s="1469">
        <v>1.5125671891546291</v>
      </c>
      <c r="O1518" s="1469"/>
    </row>
    <row r="1519" spans="11:15">
      <c r="K1519" s="1466">
        <v>43576</v>
      </c>
      <c r="L1519" s="1467"/>
      <c r="M1519" s="1468">
        <v>0</v>
      </c>
      <c r="N1519" s="1469">
        <v>1.5125671891546291</v>
      </c>
      <c r="O1519" s="1469"/>
    </row>
    <row r="1520" spans="11:15">
      <c r="K1520" s="1466">
        <v>43577</v>
      </c>
      <c r="L1520" s="1467" t="s">
        <v>2127</v>
      </c>
      <c r="M1520" s="1468">
        <v>2.462E-2</v>
      </c>
      <c r="N1520" s="1469">
        <v>1.512939583196599</v>
      </c>
      <c r="O1520" s="1469"/>
    </row>
    <row r="1521" spans="11:15">
      <c r="K1521" s="1466">
        <v>43578</v>
      </c>
      <c r="L1521" s="1467" t="s">
        <v>2127</v>
      </c>
      <c r="M1521" s="1468">
        <v>2.462E-2</v>
      </c>
      <c r="N1521" s="1469">
        <v>1.5133120689219821</v>
      </c>
      <c r="O1521" s="1469"/>
    </row>
    <row r="1522" spans="11:15">
      <c r="K1522" s="1466">
        <v>43579</v>
      </c>
      <c r="L1522" s="1467" t="s">
        <v>2127</v>
      </c>
      <c r="M1522" s="1468">
        <v>2.462E-2</v>
      </c>
      <c r="N1522" s="1469">
        <v>1.5136846463533509</v>
      </c>
      <c r="O1522" s="1469"/>
    </row>
    <row r="1523" spans="11:15">
      <c r="K1523" s="1466">
        <v>43580</v>
      </c>
      <c r="L1523" s="1467" t="s">
        <v>2127</v>
      </c>
      <c r="M1523" s="1468">
        <v>2.462E-2</v>
      </c>
      <c r="N1523" s="1469">
        <v>1.5140573155132833</v>
      </c>
      <c r="O1523" s="1469"/>
    </row>
    <row r="1524" spans="11:15">
      <c r="K1524" s="1466">
        <v>43581</v>
      </c>
      <c r="L1524" s="1467" t="s">
        <v>2127</v>
      </c>
      <c r="M1524" s="1468">
        <v>2.462E-2</v>
      </c>
      <c r="N1524" s="1469">
        <v>1.5144300764243628</v>
      </c>
      <c r="O1524" s="1469"/>
    </row>
    <row r="1525" spans="11:15">
      <c r="K1525" s="1466">
        <v>43582</v>
      </c>
      <c r="L1525" s="1467"/>
      <c r="M1525" s="1468">
        <v>0</v>
      </c>
      <c r="N1525" s="1469">
        <v>1.5144300764243628</v>
      </c>
      <c r="O1525" s="1469"/>
    </row>
    <row r="1526" spans="11:15">
      <c r="K1526" s="1466">
        <v>43583</v>
      </c>
      <c r="L1526" s="1467"/>
      <c r="M1526" s="1468">
        <v>0</v>
      </c>
      <c r="N1526" s="1469">
        <v>1.5144300764243628</v>
      </c>
      <c r="O1526" s="1469"/>
    </row>
    <row r="1527" spans="11:15">
      <c r="K1527" s="1466">
        <v>43584</v>
      </c>
      <c r="L1527" s="1467" t="s">
        <v>2127</v>
      </c>
      <c r="M1527" s="1468">
        <v>2.462E-2</v>
      </c>
      <c r="N1527" s="1469">
        <v>1.5148029291091787</v>
      </c>
      <c r="O1527" s="1469"/>
    </row>
    <row r="1528" spans="11:15">
      <c r="K1528" s="1466">
        <v>43585</v>
      </c>
      <c r="L1528" s="1467" t="s">
        <v>2127</v>
      </c>
      <c r="M1528" s="1468">
        <v>2.462E-2</v>
      </c>
      <c r="N1528" s="1469">
        <v>1.5151758735903256</v>
      </c>
      <c r="O1528" s="1469"/>
    </row>
    <row r="1529" spans="11:15">
      <c r="K1529" s="1466">
        <v>43586</v>
      </c>
      <c r="L1529" s="1467"/>
      <c r="M1529" s="1468">
        <v>0</v>
      </c>
      <c r="N1529" s="1469">
        <v>1.5151758735903256</v>
      </c>
      <c r="O1529" s="1469"/>
    </row>
    <row r="1530" spans="11:15">
      <c r="K1530" s="1466">
        <v>43587</v>
      </c>
      <c r="L1530" s="1467" t="s">
        <v>2127</v>
      </c>
      <c r="M1530" s="1468">
        <v>2.462E-2</v>
      </c>
      <c r="N1530" s="1469">
        <v>1.5155489098904036</v>
      </c>
      <c r="O1530" s="1469"/>
    </row>
    <row r="1531" spans="11:15">
      <c r="K1531" s="1466">
        <v>43588</v>
      </c>
      <c r="L1531" s="1467" t="s">
        <v>2127</v>
      </c>
      <c r="M1531" s="1468">
        <v>2.462E-2</v>
      </c>
      <c r="N1531" s="1469">
        <v>1.5159220380320186</v>
      </c>
      <c r="O1531" s="1469"/>
    </row>
    <row r="1532" spans="11:15">
      <c r="K1532" s="1466">
        <v>43589</v>
      </c>
      <c r="L1532" s="1467"/>
      <c r="M1532" s="1468">
        <v>0</v>
      </c>
      <c r="N1532" s="1469">
        <v>1.5159220380320186</v>
      </c>
      <c r="O1532" s="1469"/>
    </row>
    <row r="1533" spans="11:15">
      <c r="K1533" s="1466">
        <v>43590</v>
      </c>
      <c r="L1533" s="1467"/>
      <c r="M1533" s="1468">
        <v>0</v>
      </c>
      <c r="N1533" s="1469">
        <v>1.5159220380320186</v>
      </c>
      <c r="O1533" s="1469"/>
    </row>
    <row r="1534" spans="11:15">
      <c r="K1534" s="1466">
        <v>43591</v>
      </c>
      <c r="L1534" s="1467" t="s">
        <v>2127</v>
      </c>
      <c r="M1534" s="1468">
        <v>2.462E-2</v>
      </c>
      <c r="N1534" s="1469">
        <v>1.5162952580377822</v>
      </c>
      <c r="O1534" s="1469"/>
    </row>
    <row r="1535" spans="11:15">
      <c r="K1535" s="1466">
        <v>43592</v>
      </c>
      <c r="L1535" s="1467" t="s">
        <v>2127</v>
      </c>
      <c r="M1535" s="1468">
        <v>2.462E-2</v>
      </c>
      <c r="N1535" s="1469">
        <v>1.5166685699303113</v>
      </c>
      <c r="O1535" s="1469"/>
    </row>
    <row r="1536" spans="11:15">
      <c r="K1536" s="1466">
        <v>43593</v>
      </c>
      <c r="L1536" s="1467" t="s">
        <v>2127</v>
      </c>
      <c r="M1536" s="1468">
        <v>2.462E-2</v>
      </c>
      <c r="N1536" s="1469">
        <v>1.5170419737322283</v>
      </c>
      <c r="O1536" s="1469"/>
    </row>
    <row r="1537" spans="11:15">
      <c r="K1537" s="1466">
        <v>43594</v>
      </c>
      <c r="L1537" s="1467" t="s">
        <v>2127</v>
      </c>
      <c r="M1537" s="1468">
        <v>2.462E-2</v>
      </c>
      <c r="N1537" s="1469">
        <v>1.5174154694661612</v>
      </c>
      <c r="O1537" s="1469"/>
    </row>
    <row r="1538" spans="11:15">
      <c r="K1538" s="1466">
        <v>43595</v>
      </c>
      <c r="L1538" s="1467" t="s">
        <v>2127</v>
      </c>
      <c r="M1538" s="1468">
        <v>2.462E-2</v>
      </c>
      <c r="N1538" s="1469">
        <v>1.5177890571547439</v>
      </c>
      <c r="O1538" s="1469"/>
    </row>
    <row r="1539" spans="11:15">
      <c r="K1539" s="1466">
        <v>43596</v>
      </c>
      <c r="L1539" s="1467"/>
      <c r="M1539" s="1468">
        <v>0</v>
      </c>
      <c r="N1539" s="1469">
        <v>1.5177890571547439</v>
      </c>
      <c r="O1539" s="1469"/>
    </row>
    <row r="1540" spans="11:15">
      <c r="K1540" s="1466">
        <v>43597</v>
      </c>
      <c r="L1540" s="1467"/>
      <c r="M1540" s="1468">
        <v>0</v>
      </c>
      <c r="N1540" s="1469">
        <v>1.5177890571547439</v>
      </c>
      <c r="O1540" s="1469"/>
    </row>
    <row r="1541" spans="11:15">
      <c r="K1541" s="1466">
        <v>43598</v>
      </c>
      <c r="L1541" s="1467" t="s">
        <v>2127</v>
      </c>
      <c r="M1541" s="1468">
        <v>2.462E-2</v>
      </c>
      <c r="N1541" s="1469">
        <v>1.5181627368206154</v>
      </c>
      <c r="O1541" s="1469"/>
    </row>
    <row r="1542" spans="11:15">
      <c r="K1542" s="1466">
        <v>43599</v>
      </c>
      <c r="L1542" s="1467" t="s">
        <v>2127</v>
      </c>
      <c r="M1542" s="1468">
        <v>2.462E-2</v>
      </c>
      <c r="N1542" s="1469">
        <v>1.5185365084864209</v>
      </c>
      <c r="O1542" s="1469"/>
    </row>
    <row r="1543" spans="11:15">
      <c r="K1543" s="1466">
        <v>43600</v>
      </c>
      <c r="L1543" s="1467" t="s">
        <v>2127</v>
      </c>
      <c r="M1543" s="1468">
        <v>2.462E-2</v>
      </c>
      <c r="N1543" s="1469">
        <v>1.5189103721748103</v>
      </c>
      <c r="O1543" s="1469"/>
    </row>
    <row r="1544" spans="11:15">
      <c r="K1544" s="1466">
        <v>43601</v>
      </c>
      <c r="L1544" s="1467" t="s">
        <v>2127</v>
      </c>
      <c r="M1544" s="1468">
        <v>2.462E-2</v>
      </c>
      <c r="N1544" s="1469">
        <v>1.5192843279084398</v>
      </c>
      <c r="O1544" s="1469"/>
    </row>
    <row r="1545" spans="11:15">
      <c r="K1545" s="1466">
        <v>43602</v>
      </c>
      <c r="L1545" s="1467" t="s">
        <v>2127</v>
      </c>
      <c r="M1545" s="1468">
        <v>2.462E-2</v>
      </c>
      <c r="N1545" s="1469">
        <v>1.5196583757099711</v>
      </c>
      <c r="O1545" s="1469"/>
    </row>
    <row r="1546" spans="11:15">
      <c r="K1546" s="1466">
        <v>43603</v>
      </c>
      <c r="L1546" s="1467"/>
      <c r="M1546" s="1468">
        <v>0</v>
      </c>
      <c r="N1546" s="1469">
        <v>1.5196583757099711</v>
      </c>
      <c r="O1546" s="1469"/>
    </row>
    <row r="1547" spans="11:15">
      <c r="K1547" s="1466">
        <v>43604</v>
      </c>
      <c r="L1547" s="1467"/>
      <c r="M1547" s="1468">
        <v>0</v>
      </c>
      <c r="N1547" s="1469">
        <v>1.5196583757099711</v>
      </c>
      <c r="O1547" s="1469"/>
    </row>
    <row r="1548" spans="11:15">
      <c r="K1548" s="1466">
        <v>43605</v>
      </c>
      <c r="L1548" s="1467" t="s">
        <v>2127</v>
      </c>
      <c r="M1548" s="1468">
        <v>2.462E-2</v>
      </c>
      <c r="N1548" s="1469">
        <v>1.5200325156020711</v>
      </c>
      <c r="O1548" s="1469"/>
    </row>
    <row r="1549" spans="11:15">
      <c r="K1549" s="1466">
        <v>43606</v>
      </c>
      <c r="L1549" s="1467" t="s">
        <v>2127</v>
      </c>
      <c r="M1549" s="1468">
        <v>2.462E-2</v>
      </c>
      <c r="N1549" s="1469">
        <v>1.5204067476074123</v>
      </c>
      <c r="O1549" s="1469"/>
    </row>
    <row r="1550" spans="11:15">
      <c r="K1550" s="1466">
        <v>43607</v>
      </c>
      <c r="L1550" s="1467" t="s">
        <v>2127</v>
      </c>
      <c r="M1550" s="1468">
        <v>2.462E-2</v>
      </c>
      <c r="N1550" s="1469">
        <v>1.5207810717486734</v>
      </c>
      <c r="O1550" s="1469"/>
    </row>
    <row r="1551" spans="11:15">
      <c r="K1551" s="1466">
        <v>43608</v>
      </c>
      <c r="L1551" s="1467" t="s">
        <v>2127</v>
      </c>
      <c r="M1551" s="1468">
        <v>2.462E-2</v>
      </c>
      <c r="N1551" s="1469">
        <v>1.5211554880485381</v>
      </c>
      <c r="O1551" s="1469"/>
    </row>
    <row r="1552" spans="11:15">
      <c r="K1552" s="1466">
        <v>43609</v>
      </c>
      <c r="L1552" s="1467" t="s">
        <v>2127</v>
      </c>
      <c r="M1552" s="1468">
        <v>2.462E-2</v>
      </c>
      <c r="N1552" s="1469">
        <v>1.5215299965296958</v>
      </c>
      <c r="O1552" s="1469"/>
    </row>
    <row r="1553" spans="11:15">
      <c r="K1553" s="1466">
        <v>43610</v>
      </c>
      <c r="L1553" s="1467"/>
      <c r="M1553" s="1468">
        <v>0</v>
      </c>
      <c r="N1553" s="1469">
        <v>1.5215299965296958</v>
      </c>
      <c r="O1553" s="1469"/>
    </row>
    <row r="1554" spans="11:15">
      <c r="K1554" s="1466">
        <v>43611</v>
      </c>
      <c r="L1554" s="1467"/>
      <c r="M1554" s="1468">
        <v>0</v>
      </c>
      <c r="N1554" s="1469">
        <v>1.5215299965296958</v>
      </c>
      <c r="O1554" s="1469"/>
    </row>
    <row r="1555" spans="11:15">
      <c r="K1555" s="1466">
        <v>43612</v>
      </c>
      <c r="L1555" s="1467" t="s">
        <v>2127</v>
      </c>
      <c r="M1555" s="1468">
        <v>2.462E-2</v>
      </c>
      <c r="N1555" s="1469">
        <v>1.5219045972148415</v>
      </c>
      <c r="O1555" s="1469"/>
    </row>
    <row r="1556" spans="11:15">
      <c r="K1556" s="1466">
        <v>43613</v>
      </c>
      <c r="L1556" s="1467" t="s">
        <v>2127</v>
      </c>
      <c r="M1556" s="1468">
        <v>2.462E-2</v>
      </c>
      <c r="N1556" s="1469">
        <v>1.522279290126676</v>
      </c>
      <c r="O1556" s="1469"/>
    </row>
    <row r="1557" spans="11:15">
      <c r="K1557" s="1466">
        <v>43614</v>
      </c>
      <c r="L1557" s="1467" t="s">
        <v>2127</v>
      </c>
      <c r="M1557" s="1468">
        <v>2.462E-2</v>
      </c>
      <c r="N1557" s="1469">
        <v>1.5226540752879052</v>
      </c>
      <c r="O1557" s="1469"/>
    </row>
    <row r="1558" spans="11:15">
      <c r="K1558" s="1466">
        <v>43615</v>
      </c>
      <c r="L1558" s="1467" t="s">
        <v>2127</v>
      </c>
      <c r="M1558" s="1468">
        <v>2.462E-2</v>
      </c>
      <c r="N1558" s="1469">
        <v>1.5230289527212413</v>
      </c>
      <c r="O1558" s="1469"/>
    </row>
    <row r="1559" spans="11:15">
      <c r="K1559" s="1466">
        <v>43616</v>
      </c>
      <c r="L1559" s="1467" t="s">
        <v>2127</v>
      </c>
      <c r="M1559" s="1468">
        <v>2.462E-2</v>
      </c>
      <c r="N1559" s="1469">
        <v>1.5234039224494014</v>
      </c>
      <c r="O1559" s="1469"/>
    </row>
    <row r="1560" spans="11:15">
      <c r="K1560" s="1466">
        <v>43617</v>
      </c>
      <c r="L1560" s="1467"/>
      <c r="M1560" s="1468">
        <v>0</v>
      </c>
      <c r="N1560" s="1469">
        <v>1.5234039224494014</v>
      </c>
      <c r="O1560" s="1469"/>
    </row>
    <row r="1561" spans="11:15">
      <c r="K1561" s="1466">
        <v>43618</v>
      </c>
      <c r="L1561" s="1467"/>
      <c r="M1561" s="1468">
        <v>0</v>
      </c>
      <c r="N1561" s="1469">
        <v>1.5234039224494014</v>
      </c>
      <c r="O1561" s="1469"/>
    </row>
    <row r="1562" spans="11:15">
      <c r="K1562" s="1466">
        <v>43619</v>
      </c>
      <c r="L1562" s="1467" t="s">
        <v>2127</v>
      </c>
      <c r="M1562" s="1468">
        <v>2.462E-2</v>
      </c>
      <c r="N1562" s="1469">
        <v>1.5237789844951086</v>
      </c>
      <c r="O1562" s="1469"/>
    </row>
    <row r="1563" spans="11:15">
      <c r="K1563" s="1466">
        <v>43620</v>
      </c>
      <c r="L1563" s="1467" t="s">
        <v>2127</v>
      </c>
      <c r="M1563" s="1468">
        <v>2.462E-2</v>
      </c>
      <c r="N1563" s="1469">
        <v>1.5241541388810915</v>
      </c>
      <c r="O1563" s="1469"/>
    </row>
    <row r="1564" spans="11:15">
      <c r="K1564" s="1466">
        <v>43621</v>
      </c>
      <c r="L1564" s="1467" t="s">
        <v>2127</v>
      </c>
      <c r="M1564" s="1468">
        <v>2.462E-2</v>
      </c>
      <c r="N1564" s="1469">
        <v>1.5245293856300841</v>
      </c>
      <c r="O1564" s="1469"/>
    </row>
    <row r="1565" spans="11:15">
      <c r="K1565" s="1466">
        <v>43622</v>
      </c>
      <c r="L1565" s="1467" t="s">
        <v>2127</v>
      </c>
      <c r="M1565" s="1468">
        <v>2.462E-2</v>
      </c>
      <c r="N1565" s="1469">
        <v>1.5249047247648264</v>
      </c>
      <c r="O1565" s="1469"/>
    </row>
    <row r="1566" spans="11:15">
      <c r="K1566" s="1466">
        <v>43623</v>
      </c>
      <c r="L1566" s="1467" t="s">
        <v>2127</v>
      </c>
      <c r="M1566" s="1468">
        <v>2.462E-2</v>
      </c>
      <c r="N1566" s="1469">
        <v>1.5252801563080636</v>
      </c>
      <c r="O1566" s="1469"/>
    </row>
    <row r="1567" spans="11:15">
      <c r="K1567" s="1466">
        <v>43624</v>
      </c>
      <c r="L1567" s="1467"/>
      <c r="M1567" s="1468">
        <v>0</v>
      </c>
      <c r="N1567" s="1469">
        <v>1.5252801563080636</v>
      </c>
      <c r="O1567" s="1469"/>
    </row>
    <row r="1568" spans="11:15">
      <c r="K1568" s="1466">
        <v>43625</v>
      </c>
      <c r="L1568" s="1467"/>
      <c r="M1568" s="1468">
        <v>0</v>
      </c>
      <c r="N1568" s="1469">
        <v>1.5252801563080636</v>
      </c>
      <c r="O1568" s="1469"/>
    </row>
    <row r="1569" spans="11:15">
      <c r="K1569" s="1466">
        <v>43626</v>
      </c>
      <c r="L1569" s="1467" t="s">
        <v>2127</v>
      </c>
      <c r="M1569" s="1468">
        <v>2.462E-2</v>
      </c>
      <c r="N1569" s="1469">
        <v>1.5256556802825467</v>
      </c>
      <c r="O1569" s="1469"/>
    </row>
    <row r="1570" spans="11:15">
      <c r="K1570" s="1466">
        <v>43627</v>
      </c>
      <c r="L1570" s="1467" t="s">
        <v>2127</v>
      </c>
      <c r="M1570" s="1468">
        <v>2.462E-2</v>
      </c>
      <c r="N1570" s="1469">
        <v>1.5260312967110323</v>
      </c>
      <c r="O1570" s="1469"/>
    </row>
    <row r="1571" spans="11:15">
      <c r="K1571" s="1466">
        <v>43628</v>
      </c>
      <c r="L1571" s="1467" t="s">
        <v>2127</v>
      </c>
      <c r="M1571" s="1468">
        <v>2.462E-2</v>
      </c>
      <c r="N1571" s="1469">
        <v>1.5264070056162826</v>
      </c>
      <c r="O1571" s="1469"/>
    </row>
    <row r="1572" spans="11:15">
      <c r="K1572" s="1466">
        <v>43629</v>
      </c>
      <c r="L1572" s="1467" t="s">
        <v>2127</v>
      </c>
      <c r="M1572" s="1468">
        <v>2.462E-2</v>
      </c>
      <c r="N1572" s="1469">
        <v>1.5267828070210654</v>
      </c>
      <c r="O1572" s="1469"/>
    </row>
    <row r="1573" spans="11:15">
      <c r="K1573" s="1466">
        <v>43630</v>
      </c>
      <c r="L1573" s="1467" t="s">
        <v>2127</v>
      </c>
      <c r="M1573" s="1468">
        <v>2.462E-2</v>
      </c>
      <c r="N1573" s="1469">
        <v>1.5271587009481542</v>
      </c>
      <c r="O1573" s="1469"/>
    </row>
    <row r="1574" spans="11:15">
      <c r="K1574" s="1466">
        <v>43631</v>
      </c>
      <c r="L1574" s="1467"/>
      <c r="M1574" s="1468">
        <v>0</v>
      </c>
      <c r="N1574" s="1469">
        <v>1.5271587009481542</v>
      </c>
      <c r="O1574" s="1469"/>
    </row>
    <row r="1575" spans="11:15">
      <c r="K1575" s="1466">
        <v>43632</v>
      </c>
      <c r="L1575" s="1467"/>
      <c r="M1575" s="1468">
        <v>0</v>
      </c>
      <c r="N1575" s="1469">
        <v>1.5271587009481542</v>
      </c>
      <c r="O1575" s="1469"/>
    </row>
    <row r="1576" spans="11:15">
      <c r="K1576" s="1466">
        <v>43633</v>
      </c>
      <c r="L1576" s="1467" t="s">
        <v>2127</v>
      </c>
      <c r="M1576" s="1468">
        <v>2.462E-2</v>
      </c>
      <c r="N1576" s="1469">
        <v>1.5275346874203277</v>
      </c>
      <c r="O1576" s="1469"/>
    </row>
    <row r="1577" spans="11:15">
      <c r="K1577" s="1466">
        <v>43634</v>
      </c>
      <c r="L1577" s="1467" t="s">
        <v>2127</v>
      </c>
      <c r="M1577" s="1468">
        <v>2.462E-2</v>
      </c>
      <c r="N1577" s="1469">
        <v>1.5279107664603708</v>
      </c>
      <c r="O1577" s="1469"/>
    </row>
    <row r="1578" spans="11:15">
      <c r="K1578" s="1466">
        <v>43635</v>
      </c>
      <c r="L1578" s="1467" t="s">
        <v>2127</v>
      </c>
      <c r="M1578" s="1468">
        <v>2.462E-2</v>
      </c>
      <c r="N1578" s="1469">
        <v>1.5282869380910735</v>
      </c>
      <c r="O1578" s="1469"/>
    </row>
    <row r="1579" spans="11:15">
      <c r="K1579" s="1466">
        <v>43636</v>
      </c>
      <c r="L1579" s="1467"/>
      <c r="M1579" s="1468">
        <v>0</v>
      </c>
      <c r="N1579" s="1469">
        <v>1.5282869380910735</v>
      </c>
      <c r="O1579" s="1469"/>
    </row>
    <row r="1580" spans="11:15">
      <c r="K1580" s="1466">
        <v>43637</v>
      </c>
      <c r="L1580" s="1467" t="s">
        <v>2127</v>
      </c>
      <c r="M1580" s="1468">
        <v>2.462E-2</v>
      </c>
      <c r="N1580" s="1469">
        <v>1.5286632023352316</v>
      </c>
      <c r="O1580" s="1469"/>
    </row>
    <row r="1581" spans="11:15">
      <c r="K1581" s="1466">
        <v>43638</v>
      </c>
      <c r="L1581" s="1467"/>
      <c r="M1581" s="1468">
        <v>0</v>
      </c>
      <c r="N1581" s="1469">
        <v>1.5286632023352316</v>
      </c>
      <c r="O1581" s="1469"/>
    </row>
    <row r="1582" spans="11:15">
      <c r="K1582" s="1466">
        <v>43639</v>
      </c>
      <c r="L1582" s="1467"/>
      <c r="M1582" s="1468">
        <v>0</v>
      </c>
      <c r="N1582" s="1469">
        <v>1.5286632023352316</v>
      </c>
      <c r="O1582" s="1469"/>
    </row>
    <row r="1583" spans="11:15">
      <c r="K1583" s="1466">
        <v>43640</v>
      </c>
      <c r="L1583" s="1467" t="s">
        <v>2127</v>
      </c>
      <c r="M1583" s="1468">
        <v>2.462E-2</v>
      </c>
      <c r="N1583" s="1469">
        <v>1.5290395592156467</v>
      </c>
      <c r="O1583" s="1469"/>
    </row>
    <row r="1584" spans="11:15">
      <c r="K1584" s="1466">
        <v>43641</v>
      </c>
      <c r="L1584" s="1467" t="s">
        <v>2127</v>
      </c>
      <c r="M1584" s="1468">
        <v>2.462E-2</v>
      </c>
      <c r="N1584" s="1469">
        <v>1.5294160087551258</v>
      </c>
      <c r="O1584" s="1469"/>
    </row>
    <row r="1585" spans="11:15">
      <c r="K1585" s="1466">
        <v>43642</v>
      </c>
      <c r="L1585" s="1467" t="s">
        <v>2127</v>
      </c>
      <c r="M1585" s="1468">
        <v>2.462E-2</v>
      </c>
      <c r="N1585" s="1469">
        <v>1.5297925509764816</v>
      </c>
      <c r="O1585" s="1469"/>
    </row>
    <row r="1586" spans="11:15">
      <c r="K1586" s="1466">
        <v>43643</v>
      </c>
      <c r="L1586" s="1467" t="s">
        <v>2127</v>
      </c>
      <c r="M1586" s="1468">
        <v>2.462E-2</v>
      </c>
      <c r="N1586" s="1469">
        <v>1.5301691859025321</v>
      </c>
      <c r="O1586" s="1469"/>
    </row>
    <row r="1587" spans="11:15">
      <c r="K1587" s="1466">
        <v>43644</v>
      </c>
      <c r="L1587" s="1467" t="s">
        <v>2127</v>
      </c>
      <c r="M1587" s="1468">
        <v>2.462E-2</v>
      </c>
      <c r="N1587" s="1469">
        <v>1.5305459135561015</v>
      </c>
      <c r="O1587" s="1469"/>
    </row>
    <row r="1588" spans="11:15">
      <c r="K1588" s="1466">
        <v>43645</v>
      </c>
      <c r="L1588" s="1467"/>
      <c r="M1588" s="1468">
        <v>0</v>
      </c>
      <c r="N1588" s="1469">
        <v>1.5305459135561015</v>
      </c>
      <c r="O1588" s="1469"/>
    </row>
    <row r="1589" spans="11:15">
      <c r="K1589" s="1466">
        <v>43646</v>
      </c>
      <c r="L1589" s="1467"/>
      <c r="M1589" s="1468">
        <v>0</v>
      </c>
      <c r="N1589" s="1469">
        <v>1.5305459135561015</v>
      </c>
      <c r="O1589" s="1469"/>
    </row>
    <row r="1590" spans="11:15">
      <c r="K1590" s="1466">
        <v>43647</v>
      </c>
      <c r="L1590" s="1467" t="s">
        <v>2127</v>
      </c>
      <c r="M1590" s="1468">
        <v>2.462E-2</v>
      </c>
      <c r="N1590" s="1469">
        <v>1.5309227339600191</v>
      </c>
      <c r="O1590" s="1469"/>
    </row>
    <row r="1591" spans="11:15">
      <c r="K1591" s="1466">
        <v>43648</v>
      </c>
      <c r="L1591" s="1467" t="s">
        <v>2127</v>
      </c>
      <c r="M1591" s="1468">
        <v>2.462E-2</v>
      </c>
      <c r="N1591" s="1469">
        <v>1.5312996471371201</v>
      </c>
      <c r="O1591" s="1469"/>
    </row>
    <row r="1592" spans="11:15">
      <c r="K1592" s="1466">
        <v>43649</v>
      </c>
      <c r="L1592" s="1467" t="s">
        <v>2127</v>
      </c>
      <c r="M1592" s="1468">
        <v>2.462E-2</v>
      </c>
      <c r="N1592" s="1469">
        <v>1.5316766531102455</v>
      </c>
      <c r="O1592" s="1469"/>
    </row>
    <row r="1593" spans="11:15">
      <c r="K1593" s="1466">
        <v>43650</v>
      </c>
      <c r="L1593" s="1467" t="s">
        <v>2127</v>
      </c>
      <c r="M1593" s="1468">
        <v>2.462E-2</v>
      </c>
      <c r="N1593" s="1469">
        <v>1.5320537519022412</v>
      </c>
      <c r="O1593" s="1469"/>
    </row>
    <row r="1594" spans="11:15">
      <c r="K1594" s="1466">
        <v>43651</v>
      </c>
      <c r="L1594" s="1467" t="s">
        <v>2127</v>
      </c>
      <c r="M1594" s="1468">
        <v>2.462E-2</v>
      </c>
      <c r="N1594" s="1469">
        <v>1.5324309435359598</v>
      </c>
      <c r="O1594" s="1469"/>
    </row>
    <row r="1595" spans="11:15">
      <c r="K1595" s="1466">
        <v>43652</v>
      </c>
      <c r="L1595" s="1467"/>
      <c r="M1595" s="1468">
        <v>0</v>
      </c>
      <c r="N1595" s="1469">
        <v>1.5324309435359598</v>
      </c>
      <c r="O1595" s="1469"/>
    </row>
    <row r="1596" spans="11:15">
      <c r="K1596" s="1466">
        <v>43653</v>
      </c>
      <c r="L1596" s="1467"/>
      <c r="M1596" s="1468">
        <v>0</v>
      </c>
      <c r="N1596" s="1469">
        <v>1.5324309435359598</v>
      </c>
      <c r="O1596" s="1469"/>
    </row>
    <row r="1597" spans="11:15">
      <c r="K1597" s="1466">
        <v>43654</v>
      </c>
      <c r="L1597" s="1467" t="s">
        <v>2127</v>
      </c>
      <c r="M1597" s="1468">
        <v>2.462E-2</v>
      </c>
      <c r="N1597" s="1469">
        <v>1.5328082280342585</v>
      </c>
      <c r="O1597" s="1469"/>
    </row>
    <row r="1598" spans="11:15">
      <c r="K1598" s="1466">
        <v>43655</v>
      </c>
      <c r="L1598" s="1467" t="s">
        <v>2127</v>
      </c>
      <c r="M1598" s="1468">
        <v>2.462E-2</v>
      </c>
      <c r="N1598" s="1469">
        <v>1.5331856054200006</v>
      </c>
      <c r="O1598" s="1469"/>
    </row>
    <row r="1599" spans="11:15">
      <c r="K1599" s="1466">
        <v>43656</v>
      </c>
      <c r="L1599" s="1467" t="s">
        <v>2127</v>
      </c>
      <c r="M1599" s="1468">
        <v>2.462E-2</v>
      </c>
      <c r="N1599" s="1469">
        <v>1.5335630757160552</v>
      </c>
      <c r="O1599" s="1469"/>
    </row>
    <row r="1600" spans="11:15">
      <c r="K1600" s="1466">
        <v>43657</v>
      </c>
      <c r="L1600" s="1467" t="s">
        <v>2127</v>
      </c>
      <c r="M1600" s="1468">
        <v>2.462E-2</v>
      </c>
      <c r="N1600" s="1469">
        <v>1.5339406389452965</v>
      </c>
      <c r="O1600" s="1469"/>
    </row>
    <row r="1601" spans="11:15">
      <c r="K1601" s="1466">
        <v>43658</v>
      </c>
      <c r="L1601" s="1467" t="s">
        <v>2127</v>
      </c>
      <c r="M1601" s="1468">
        <v>2.462E-2</v>
      </c>
      <c r="N1601" s="1469">
        <v>1.5343182951306049</v>
      </c>
      <c r="O1601" s="1469"/>
    </row>
    <row r="1602" spans="11:15">
      <c r="K1602" s="1466">
        <v>43659</v>
      </c>
      <c r="L1602" s="1467"/>
      <c r="M1602" s="1468">
        <v>0</v>
      </c>
      <c r="N1602" s="1469">
        <v>1.5343182951306049</v>
      </c>
      <c r="O1602" s="1469"/>
    </row>
    <row r="1603" spans="11:15">
      <c r="K1603" s="1466">
        <v>43660</v>
      </c>
      <c r="L1603" s="1467"/>
      <c r="M1603" s="1468">
        <v>0</v>
      </c>
      <c r="N1603" s="1469">
        <v>1.5343182951306049</v>
      </c>
      <c r="O1603" s="1469"/>
    </row>
    <row r="1604" spans="11:15">
      <c r="K1604" s="1466">
        <v>43661</v>
      </c>
      <c r="L1604" s="1467" t="s">
        <v>2127</v>
      </c>
      <c r="M1604" s="1468">
        <v>2.462E-2</v>
      </c>
      <c r="N1604" s="1469">
        <v>1.5346960442948663</v>
      </c>
      <c r="O1604" s="1469"/>
    </row>
    <row r="1605" spans="11:15">
      <c r="K1605" s="1466">
        <v>43662</v>
      </c>
      <c r="L1605" s="1467" t="s">
        <v>2127</v>
      </c>
      <c r="M1605" s="1468">
        <v>2.462E-2</v>
      </c>
      <c r="N1605" s="1469">
        <v>1.5350738864609719</v>
      </c>
      <c r="O1605" s="1469"/>
    </row>
    <row r="1606" spans="11:15">
      <c r="K1606" s="1466">
        <v>43663</v>
      </c>
      <c r="L1606" s="1467" t="s">
        <v>2127</v>
      </c>
      <c r="M1606" s="1468">
        <v>2.462E-2</v>
      </c>
      <c r="N1606" s="1469">
        <v>1.5354518216518187</v>
      </c>
      <c r="O1606" s="1469"/>
    </row>
    <row r="1607" spans="11:15">
      <c r="K1607" s="1466">
        <v>43664</v>
      </c>
      <c r="L1607" s="1467" t="s">
        <v>2127</v>
      </c>
      <c r="M1607" s="1468">
        <v>2.462E-2</v>
      </c>
      <c r="N1607" s="1469">
        <v>1.5358298498903096</v>
      </c>
      <c r="O1607" s="1469"/>
    </row>
    <row r="1608" spans="11:15">
      <c r="K1608" s="1466">
        <v>43665</v>
      </c>
      <c r="L1608" s="1467" t="s">
        <v>2127</v>
      </c>
      <c r="M1608" s="1468">
        <v>2.462E-2</v>
      </c>
      <c r="N1608" s="1469">
        <v>1.5362079711993526</v>
      </c>
      <c r="O1608" s="1469"/>
    </row>
    <row r="1609" spans="11:15">
      <c r="K1609" s="1466">
        <v>43666</v>
      </c>
      <c r="L1609" s="1467"/>
      <c r="M1609" s="1468">
        <v>0</v>
      </c>
      <c r="N1609" s="1469">
        <v>1.5362079711993526</v>
      </c>
      <c r="O1609" s="1469"/>
    </row>
    <row r="1610" spans="11:15">
      <c r="K1610" s="1466">
        <v>43667</v>
      </c>
      <c r="L1610" s="1467"/>
      <c r="M1610" s="1468">
        <v>0</v>
      </c>
      <c r="N1610" s="1469">
        <v>1.5362079711993526</v>
      </c>
      <c r="O1610" s="1469"/>
    </row>
    <row r="1611" spans="11:15">
      <c r="K1611" s="1466">
        <v>43668</v>
      </c>
      <c r="L1611" s="1467" t="s">
        <v>2127</v>
      </c>
      <c r="M1611" s="1468">
        <v>2.462E-2</v>
      </c>
      <c r="N1611" s="1469">
        <v>1.5365861856018621</v>
      </c>
      <c r="O1611" s="1469"/>
    </row>
    <row r="1612" spans="11:15">
      <c r="K1612" s="1466">
        <v>43669</v>
      </c>
      <c r="L1612" s="1467" t="s">
        <v>2127</v>
      </c>
      <c r="M1612" s="1468">
        <v>2.462E-2</v>
      </c>
      <c r="N1612" s="1469">
        <v>1.5369644931207573</v>
      </c>
      <c r="O1612" s="1469"/>
    </row>
    <row r="1613" spans="11:15">
      <c r="K1613" s="1466">
        <v>43670</v>
      </c>
      <c r="L1613" s="1467" t="s">
        <v>2127</v>
      </c>
      <c r="M1613" s="1468">
        <v>2.462E-2</v>
      </c>
      <c r="N1613" s="1469">
        <v>1.5373428937789637</v>
      </c>
      <c r="O1613" s="1469"/>
    </row>
    <row r="1614" spans="11:15">
      <c r="K1614" s="1466">
        <v>43671</v>
      </c>
      <c r="L1614" s="1467" t="s">
        <v>2127</v>
      </c>
      <c r="M1614" s="1468">
        <v>2.462E-2</v>
      </c>
      <c r="N1614" s="1469">
        <v>1.5377213875994122</v>
      </c>
      <c r="O1614" s="1469"/>
    </row>
    <row r="1615" spans="11:15">
      <c r="K1615" s="1466">
        <v>43672</v>
      </c>
      <c r="L1615" s="1467" t="s">
        <v>2127</v>
      </c>
      <c r="M1615" s="1468">
        <v>2.462E-2</v>
      </c>
      <c r="N1615" s="1469">
        <v>1.5380999746050394</v>
      </c>
      <c r="O1615" s="1469"/>
    </row>
    <row r="1616" spans="11:15">
      <c r="K1616" s="1466">
        <v>43673</v>
      </c>
      <c r="L1616" s="1467"/>
      <c r="M1616" s="1468">
        <v>0</v>
      </c>
      <c r="N1616" s="1469">
        <v>1.5380999746050394</v>
      </c>
      <c r="O1616" s="1469"/>
    </row>
    <row r="1617" spans="11:15">
      <c r="K1617" s="1466">
        <v>43674</v>
      </c>
      <c r="L1617" s="1467"/>
      <c r="M1617" s="1468">
        <v>0</v>
      </c>
      <c r="N1617" s="1469">
        <v>1.5380999746050394</v>
      </c>
      <c r="O1617" s="1469"/>
    </row>
    <row r="1618" spans="11:15">
      <c r="K1618" s="1466">
        <v>43675</v>
      </c>
      <c r="L1618" s="1467" t="s">
        <v>2127</v>
      </c>
      <c r="M1618" s="1468">
        <v>2.462E-2</v>
      </c>
      <c r="N1618" s="1469">
        <v>1.5384786548187874</v>
      </c>
      <c r="O1618" s="1469"/>
    </row>
    <row r="1619" spans="11:15">
      <c r="K1619" s="1466">
        <v>43676</v>
      </c>
      <c r="L1619" s="1467" t="s">
        <v>2127</v>
      </c>
      <c r="M1619" s="1468">
        <v>2.462E-2</v>
      </c>
      <c r="N1619" s="1469">
        <v>1.5388574282636041</v>
      </c>
      <c r="O1619" s="1469"/>
    </row>
    <row r="1620" spans="11:15">
      <c r="K1620" s="1466">
        <v>43677</v>
      </c>
      <c r="L1620" s="1467" t="s">
        <v>2127</v>
      </c>
      <c r="M1620" s="1468">
        <v>2.462E-2</v>
      </c>
      <c r="N1620" s="1469">
        <v>1.5392362949624427</v>
      </c>
      <c r="O1620" s="1469"/>
    </row>
    <row r="1621" spans="11:15">
      <c r="K1621" s="1466">
        <v>43678</v>
      </c>
      <c r="L1621" s="1467" t="s">
        <v>2127</v>
      </c>
      <c r="M1621" s="1468">
        <v>2.2751E-2</v>
      </c>
      <c r="N1621" s="1469">
        <v>1.5395864866119096</v>
      </c>
      <c r="O1621" s="1469"/>
    </row>
    <row r="1622" spans="11:15">
      <c r="K1622" s="1466">
        <v>43679</v>
      </c>
      <c r="L1622" s="1467" t="s">
        <v>2127</v>
      </c>
      <c r="M1622" s="1468">
        <v>2.2751E-2</v>
      </c>
      <c r="N1622" s="1469">
        <v>1.5399367579334786</v>
      </c>
      <c r="O1622" s="1469"/>
    </row>
    <row r="1623" spans="11:15">
      <c r="K1623" s="1466">
        <v>43680</v>
      </c>
      <c r="L1623" s="1467"/>
      <c r="M1623" s="1468">
        <v>0</v>
      </c>
      <c r="N1623" s="1469">
        <v>1.5399367579334786</v>
      </c>
      <c r="O1623" s="1469"/>
    </row>
    <row r="1624" spans="11:15">
      <c r="K1624" s="1466">
        <v>43681</v>
      </c>
      <c r="L1624" s="1467"/>
      <c r="M1624" s="1468">
        <v>0</v>
      </c>
      <c r="N1624" s="1469">
        <v>1.5399367579334786</v>
      </c>
      <c r="O1624" s="1469"/>
    </row>
    <row r="1625" spans="11:15">
      <c r="K1625" s="1466">
        <v>43682</v>
      </c>
      <c r="L1625" s="1467" t="s">
        <v>2127</v>
      </c>
      <c r="M1625" s="1468">
        <v>2.2751E-2</v>
      </c>
      <c r="N1625" s="1469">
        <v>1.5402871089452761</v>
      </c>
      <c r="O1625" s="1469"/>
    </row>
    <row r="1626" spans="11:15">
      <c r="K1626" s="1466">
        <v>43683</v>
      </c>
      <c r="L1626" s="1467" t="s">
        <v>2127</v>
      </c>
      <c r="M1626" s="1468">
        <v>2.2751E-2</v>
      </c>
      <c r="N1626" s="1469">
        <v>1.5406375396654322</v>
      </c>
      <c r="O1626" s="1469"/>
    </row>
    <row r="1627" spans="11:15">
      <c r="K1627" s="1466">
        <v>43684</v>
      </c>
      <c r="L1627" s="1467" t="s">
        <v>2127</v>
      </c>
      <c r="M1627" s="1468">
        <v>2.2751E-2</v>
      </c>
      <c r="N1627" s="1469">
        <v>1.5409880501120814</v>
      </c>
      <c r="O1627" s="1469"/>
    </row>
    <row r="1628" spans="11:15">
      <c r="K1628" s="1466">
        <v>43685</v>
      </c>
      <c r="L1628" s="1467" t="s">
        <v>2127</v>
      </c>
      <c r="M1628" s="1468">
        <v>2.2751E-2</v>
      </c>
      <c r="N1628" s="1469">
        <v>1.5413386403033624</v>
      </c>
      <c r="O1628" s="1469"/>
    </row>
    <row r="1629" spans="11:15">
      <c r="K1629" s="1466">
        <v>43686</v>
      </c>
      <c r="L1629" s="1467" t="s">
        <v>2127</v>
      </c>
      <c r="M1629" s="1468">
        <v>2.2751E-2</v>
      </c>
      <c r="N1629" s="1469">
        <v>1.5416893102574178</v>
      </c>
      <c r="O1629" s="1469"/>
    </row>
    <row r="1630" spans="11:15">
      <c r="K1630" s="1466">
        <v>43687</v>
      </c>
      <c r="L1630" s="1467"/>
      <c r="M1630" s="1468">
        <v>0</v>
      </c>
      <c r="N1630" s="1469">
        <v>1.5416893102574178</v>
      </c>
      <c r="O1630" s="1469"/>
    </row>
    <row r="1631" spans="11:15">
      <c r="K1631" s="1466">
        <v>43688</v>
      </c>
      <c r="L1631" s="1467"/>
      <c r="M1631" s="1468">
        <v>0</v>
      </c>
      <c r="N1631" s="1469">
        <v>1.5416893102574178</v>
      </c>
      <c r="O1631" s="1469"/>
    </row>
    <row r="1632" spans="11:15">
      <c r="K1632" s="1466">
        <v>43689</v>
      </c>
      <c r="L1632" s="1467" t="s">
        <v>2127</v>
      </c>
      <c r="M1632" s="1468">
        <v>2.2751E-2</v>
      </c>
      <c r="N1632" s="1469">
        <v>1.5420400599923945</v>
      </c>
      <c r="O1632" s="1469"/>
    </row>
    <row r="1633" spans="11:15">
      <c r="K1633" s="1466">
        <v>43690</v>
      </c>
      <c r="L1633" s="1467" t="s">
        <v>2127</v>
      </c>
      <c r="M1633" s="1468">
        <v>2.2751E-2</v>
      </c>
      <c r="N1633" s="1469">
        <v>1.5423908895264433</v>
      </c>
      <c r="O1633" s="1469"/>
    </row>
    <row r="1634" spans="11:15">
      <c r="K1634" s="1466">
        <v>43691</v>
      </c>
      <c r="L1634" s="1467" t="s">
        <v>2127</v>
      </c>
      <c r="M1634" s="1468">
        <v>2.2751E-2</v>
      </c>
      <c r="N1634" s="1469">
        <v>1.5427417988777195</v>
      </c>
      <c r="O1634" s="1469"/>
    </row>
    <row r="1635" spans="11:15">
      <c r="K1635" s="1466">
        <v>43692</v>
      </c>
      <c r="L1635" s="1467" t="s">
        <v>2127</v>
      </c>
      <c r="M1635" s="1468">
        <v>2.2751E-2</v>
      </c>
      <c r="N1635" s="1469">
        <v>1.5430927880643821</v>
      </c>
      <c r="O1635" s="1469"/>
    </row>
    <row r="1636" spans="11:15">
      <c r="K1636" s="1466">
        <v>43693</v>
      </c>
      <c r="L1636" s="1467" t="s">
        <v>2127</v>
      </c>
      <c r="M1636" s="1468">
        <v>2.2751E-2</v>
      </c>
      <c r="N1636" s="1469">
        <v>1.5434438571045945</v>
      </c>
      <c r="O1636" s="1469"/>
    </row>
    <row r="1637" spans="11:15">
      <c r="K1637" s="1466">
        <v>43694</v>
      </c>
      <c r="L1637" s="1467"/>
      <c r="M1637" s="1468">
        <v>0</v>
      </c>
      <c r="N1637" s="1469">
        <v>1.5434438571045945</v>
      </c>
      <c r="O1637" s="1469"/>
    </row>
    <row r="1638" spans="11:15">
      <c r="K1638" s="1466">
        <v>43695</v>
      </c>
      <c r="L1638" s="1467"/>
      <c r="M1638" s="1468">
        <v>0</v>
      </c>
      <c r="N1638" s="1469">
        <v>1.5434438571045945</v>
      </c>
      <c r="O1638" s="1469"/>
    </row>
    <row r="1639" spans="11:15">
      <c r="K1639" s="1466">
        <v>43696</v>
      </c>
      <c r="L1639" s="1467" t="s">
        <v>2127</v>
      </c>
      <c r="M1639" s="1468">
        <v>2.2751E-2</v>
      </c>
      <c r="N1639" s="1469">
        <v>1.5437950060165244</v>
      </c>
      <c r="O1639" s="1469"/>
    </row>
    <row r="1640" spans="11:15">
      <c r="K1640" s="1466">
        <v>43697</v>
      </c>
      <c r="L1640" s="1467" t="s">
        <v>2127</v>
      </c>
      <c r="M1640" s="1468">
        <v>2.2751E-2</v>
      </c>
      <c r="N1640" s="1469">
        <v>1.5441462348183432</v>
      </c>
      <c r="O1640" s="1469"/>
    </row>
    <row r="1641" spans="11:15">
      <c r="K1641" s="1466">
        <v>43698</v>
      </c>
      <c r="L1641" s="1467" t="s">
        <v>2127</v>
      </c>
      <c r="M1641" s="1468">
        <v>2.2751E-2</v>
      </c>
      <c r="N1641" s="1469">
        <v>1.5444975435282267</v>
      </c>
      <c r="O1641" s="1469"/>
    </row>
    <row r="1642" spans="11:15">
      <c r="K1642" s="1466">
        <v>43699</v>
      </c>
      <c r="L1642" s="1467" t="s">
        <v>2127</v>
      </c>
      <c r="M1642" s="1468">
        <v>2.2751E-2</v>
      </c>
      <c r="N1642" s="1469">
        <v>1.5448489321643548</v>
      </c>
      <c r="O1642" s="1469"/>
    </row>
    <row r="1643" spans="11:15">
      <c r="K1643" s="1466">
        <v>43700</v>
      </c>
      <c r="L1643" s="1467" t="s">
        <v>2127</v>
      </c>
      <c r="M1643" s="1468">
        <v>2.2751E-2</v>
      </c>
      <c r="N1643" s="1469">
        <v>1.5452004007449116</v>
      </c>
      <c r="O1643" s="1469"/>
    </row>
    <row r="1644" spans="11:15">
      <c r="K1644" s="1466">
        <v>43701</v>
      </c>
      <c r="L1644" s="1467"/>
      <c r="M1644" s="1468">
        <v>0</v>
      </c>
      <c r="N1644" s="1469">
        <v>1.5452004007449116</v>
      </c>
      <c r="O1644" s="1469"/>
    </row>
    <row r="1645" spans="11:15">
      <c r="K1645" s="1466">
        <v>43702</v>
      </c>
      <c r="L1645" s="1467"/>
      <c r="M1645" s="1468">
        <v>0</v>
      </c>
      <c r="N1645" s="1469">
        <v>1.5452004007449116</v>
      </c>
      <c r="O1645" s="1469"/>
    </row>
    <row r="1646" spans="11:15">
      <c r="K1646" s="1466">
        <v>43703</v>
      </c>
      <c r="L1646" s="1467" t="s">
        <v>2127</v>
      </c>
      <c r="M1646" s="1468">
        <v>2.2751E-2</v>
      </c>
      <c r="N1646" s="1469">
        <v>1.5455519492880851</v>
      </c>
      <c r="O1646" s="1469"/>
    </row>
    <row r="1647" spans="11:15">
      <c r="K1647" s="1466">
        <v>43704</v>
      </c>
      <c r="L1647" s="1467" t="s">
        <v>2127</v>
      </c>
      <c r="M1647" s="1468">
        <v>2.2751E-2</v>
      </c>
      <c r="N1647" s="1469">
        <v>1.5459035778120676</v>
      </c>
      <c r="O1647" s="1469"/>
    </row>
    <row r="1648" spans="11:15">
      <c r="K1648" s="1466">
        <v>43705</v>
      </c>
      <c r="L1648" s="1467" t="s">
        <v>2127</v>
      </c>
      <c r="M1648" s="1468">
        <v>2.2751E-2</v>
      </c>
      <c r="N1648" s="1469">
        <v>1.5462552863350556</v>
      </c>
      <c r="O1648" s="1469"/>
    </row>
    <row r="1649" spans="11:15">
      <c r="K1649" s="1466">
        <v>43706</v>
      </c>
      <c r="L1649" s="1467" t="s">
        <v>2127</v>
      </c>
      <c r="M1649" s="1468">
        <v>2.2751E-2</v>
      </c>
      <c r="N1649" s="1469">
        <v>1.5466070748752496</v>
      </c>
      <c r="O1649" s="1469"/>
    </row>
    <row r="1650" spans="11:15">
      <c r="K1650" s="1466">
        <v>43707</v>
      </c>
      <c r="L1650" s="1467" t="s">
        <v>2127</v>
      </c>
      <c r="M1650" s="1468">
        <v>2.2751E-2</v>
      </c>
      <c r="N1650" s="1469">
        <v>1.5469589434508544</v>
      </c>
      <c r="O1650" s="1469"/>
    </row>
    <row r="1651" spans="11:15">
      <c r="K1651" s="1466">
        <v>43708</v>
      </c>
      <c r="L1651" s="1467"/>
      <c r="M1651" s="1468">
        <v>0</v>
      </c>
      <c r="N1651" s="1469">
        <v>1.5469589434508544</v>
      </c>
      <c r="O1651" s="1469"/>
    </row>
    <row r="1652" spans="11:15">
      <c r="K1652" s="1466">
        <v>43709</v>
      </c>
      <c r="L1652" s="1467"/>
      <c r="M1652" s="1468">
        <v>0</v>
      </c>
      <c r="N1652" s="1469">
        <v>1.5469589434508544</v>
      </c>
      <c r="O1652" s="1469"/>
    </row>
    <row r="1653" spans="11:15">
      <c r="K1653" s="1466">
        <v>43710</v>
      </c>
      <c r="L1653" s="1467" t="s">
        <v>2127</v>
      </c>
      <c r="M1653" s="1468">
        <v>2.2751E-2</v>
      </c>
      <c r="N1653" s="1469">
        <v>1.5473108920800789</v>
      </c>
      <c r="O1653" s="1469"/>
    </row>
    <row r="1654" spans="11:15">
      <c r="K1654" s="1466">
        <v>43711</v>
      </c>
      <c r="L1654" s="1467" t="s">
        <v>2127</v>
      </c>
      <c r="M1654" s="1468">
        <v>2.2751E-2</v>
      </c>
      <c r="N1654" s="1469">
        <v>1.5476629207811361</v>
      </c>
      <c r="O1654" s="1469"/>
    </row>
    <row r="1655" spans="11:15">
      <c r="K1655" s="1466">
        <v>43712</v>
      </c>
      <c r="L1655" s="1467" t="s">
        <v>2127</v>
      </c>
      <c r="M1655" s="1468">
        <v>2.2751E-2</v>
      </c>
      <c r="N1655" s="1469">
        <v>1.548015029572243</v>
      </c>
      <c r="O1655" s="1469"/>
    </row>
    <row r="1656" spans="11:15">
      <c r="K1656" s="1466">
        <v>43713</v>
      </c>
      <c r="L1656" s="1467" t="s">
        <v>2127</v>
      </c>
      <c r="M1656" s="1468">
        <v>2.2751E-2</v>
      </c>
      <c r="N1656" s="1469">
        <v>1.5483672184716211</v>
      </c>
      <c r="O1656" s="1469"/>
    </row>
    <row r="1657" spans="11:15">
      <c r="K1657" s="1466">
        <v>43714</v>
      </c>
      <c r="L1657" s="1467" t="s">
        <v>2127</v>
      </c>
      <c r="M1657" s="1468">
        <v>2.2751E-2</v>
      </c>
      <c r="N1657" s="1469">
        <v>1.5487194874974954</v>
      </c>
      <c r="O1657" s="1469"/>
    </row>
    <row r="1658" spans="11:15">
      <c r="K1658" s="1466">
        <v>43715</v>
      </c>
      <c r="L1658" s="1467"/>
      <c r="M1658" s="1468">
        <v>0</v>
      </c>
      <c r="N1658" s="1469">
        <v>1.5487194874974954</v>
      </c>
      <c r="O1658" s="1469"/>
    </row>
    <row r="1659" spans="11:15">
      <c r="K1659" s="1466">
        <v>43716</v>
      </c>
      <c r="L1659" s="1467"/>
      <c r="M1659" s="1468">
        <v>0</v>
      </c>
      <c r="N1659" s="1469">
        <v>1.5487194874974954</v>
      </c>
      <c r="O1659" s="1469"/>
    </row>
    <row r="1660" spans="11:15">
      <c r="K1660" s="1466">
        <v>43717</v>
      </c>
      <c r="L1660" s="1467" t="s">
        <v>2127</v>
      </c>
      <c r="M1660" s="1468">
        <v>2.2751E-2</v>
      </c>
      <c r="N1660" s="1469">
        <v>1.549071836668096</v>
      </c>
      <c r="O1660" s="1469"/>
    </row>
    <row r="1661" spans="11:15">
      <c r="K1661" s="1466">
        <v>43718</v>
      </c>
      <c r="L1661" s="1467" t="s">
        <v>2127</v>
      </c>
      <c r="M1661" s="1468">
        <v>2.2751E-2</v>
      </c>
      <c r="N1661" s="1469">
        <v>1.5494242660016564</v>
      </c>
      <c r="O1661" s="1469"/>
    </row>
    <row r="1662" spans="11:15">
      <c r="K1662" s="1466">
        <v>43719</v>
      </c>
      <c r="L1662" s="1467" t="s">
        <v>2127</v>
      </c>
      <c r="M1662" s="1468">
        <v>2.2751E-2</v>
      </c>
      <c r="N1662" s="1469">
        <v>1.5497767755164145</v>
      </c>
      <c r="O1662" s="1469"/>
    </row>
    <row r="1663" spans="11:15">
      <c r="K1663" s="1466">
        <v>43720</v>
      </c>
      <c r="L1663" s="1467" t="s">
        <v>2127</v>
      </c>
      <c r="M1663" s="1468">
        <v>2.2751E-2</v>
      </c>
      <c r="N1663" s="1469">
        <v>1.5501293652306123</v>
      </c>
      <c r="O1663" s="1469"/>
    </row>
    <row r="1664" spans="11:15">
      <c r="K1664" s="1466">
        <v>43721</v>
      </c>
      <c r="L1664" s="1467" t="s">
        <v>2127</v>
      </c>
      <c r="M1664" s="1468">
        <v>2.2751E-2</v>
      </c>
      <c r="N1664" s="1469">
        <v>1.5504820351624959</v>
      </c>
      <c r="O1664" s="1469"/>
    </row>
    <row r="1665" spans="11:15">
      <c r="K1665" s="1466">
        <v>43722</v>
      </c>
      <c r="L1665" s="1467"/>
      <c r="M1665" s="1468">
        <v>0</v>
      </c>
      <c r="N1665" s="1469">
        <v>1.5504820351624959</v>
      </c>
      <c r="O1665" s="1469"/>
    </row>
    <row r="1666" spans="11:15">
      <c r="K1666" s="1466">
        <v>43723</v>
      </c>
      <c r="L1666" s="1467"/>
      <c r="M1666" s="1468">
        <v>0</v>
      </c>
      <c r="N1666" s="1469">
        <v>1.5504820351624959</v>
      </c>
      <c r="O1666" s="1469"/>
    </row>
    <row r="1667" spans="11:15">
      <c r="K1667" s="1466">
        <v>43724</v>
      </c>
      <c r="L1667" s="1467" t="s">
        <v>2127</v>
      </c>
      <c r="M1667" s="1468">
        <v>2.2751E-2</v>
      </c>
      <c r="N1667" s="1469">
        <v>1.5508347853303157</v>
      </c>
      <c r="O1667" s="1469"/>
    </row>
    <row r="1668" spans="11:15">
      <c r="K1668" s="1466">
        <v>43725</v>
      </c>
      <c r="L1668" s="1467" t="s">
        <v>2127</v>
      </c>
      <c r="M1668" s="1468">
        <v>2.2751E-2</v>
      </c>
      <c r="N1668" s="1469">
        <v>1.5511876157523261</v>
      </c>
      <c r="O1668" s="1469"/>
    </row>
    <row r="1669" spans="11:15">
      <c r="K1669" s="1466">
        <v>43726</v>
      </c>
      <c r="L1669" s="1467" t="s">
        <v>2127</v>
      </c>
      <c r="M1669" s="1468">
        <v>2.2751E-2</v>
      </c>
      <c r="N1669" s="1469">
        <v>1.5515405264467859</v>
      </c>
      <c r="O1669" s="1469"/>
    </row>
    <row r="1670" spans="11:15">
      <c r="K1670" s="1466">
        <v>43727</v>
      </c>
      <c r="L1670" s="1467" t="s">
        <v>2127</v>
      </c>
      <c r="M1670" s="1468">
        <v>2.0872000000000002E-2</v>
      </c>
      <c r="N1670" s="1469">
        <v>1.5518643639854659</v>
      </c>
      <c r="O1670" s="1469"/>
    </row>
    <row r="1671" spans="11:15">
      <c r="K1671" s="1466">
        <v>43728</v>
      </c>
      <c r="L1671" s="1467" t="s">
        <v>2127</v>
      </c>
      <c r="M1671" s="1468">
        <v>2.0872000000000002E-2</v>
      </c>
      <c r="N1671" s="1469">
        <v>1.5521882691155171</v>
      </c>
      <c r="O1671" s="1469"/>
    </row>
    <row r="1672" spans="11:15">
      <c r="K1672" s="1466">
        <v>43729</v>
      </c>
      <c r="L1672" s="1467"/>
      <c r="M1672" s="1468">
        <v>0</v>
      </c>
      <c r="N1672" s="1469">
        <v>1.5521882691155171</v>
      </c>
      <c r="O1672" s="1469"/>
    </row>
    <row r="1673" spans="11:15">
      <c r="K1673" s="1466">
        <v>43730</v>
      </c>
      <c r="L1673" s="1467"/>
      <c r="M1673" s="1468">
        <v>0</v>
      </c>
      <c r="N1673" s="1469">
        <v>1.5521882691155171</v>
      </c>
      <c r="O1673" s="1469"/>
    </row>
    <row r="1674" spans="11:15">
      <c r="K1674" s="1466">
        <v>43731</v>
      </c>
      <c r="L1674" s="1467" t="s">
        <v>2127</v>
      </c>
      <c r="M1674" s="1468">
        <v>2.0872000000000002E-2</v>
      </c>
      <c r="N1674" s="1469">
        <v>1.5525122418510471</v>
      </c>
      <c r="O1674" s="1469"/>
    </row>
    <row r="1675" spans="11:15">
      <c r="K1675" s="1466">
        <v>43732</v>
      </c>
      <c r="L1675" s="1467" t="s">
        <v>2127</v>
      </c>
      <c r="M1675" s="1468">
        <v>2.0872000000000002E-2</v>
      </c>
      <c r="N1675" s="1469">
        <v>1.5528362822061663</v>
      </c>
      <c r="O1675" s="1469"/>
    </row>
    <row r="1676" spans="11:15">
      <c r="K1676" s="1466">
        <v>43733</v>
      </c>
      <c r="L1676" s="1467" t="s">
        <v>2127</v>
      </c>
      <c r="M1676" s="1468">
        <v>2.0872000000000002E-2</v>
      </c>
      <c r="N1676" s="1469">
        <v>1.5531603901949884</v>
      </c>
      <c r="O1676" s="1469"/>
    </row>
    <row r="1677" spans="11:15">
      <c r="K1677" s="1466">
        <v>43734</v>
      </c>
      <c r="L1677" s="1467" t="s">
        <v>2127</v>
      </c>
      <c r="M1677" s="1468">
        <v>2.0872000000000002E-2</v>
      </c>
      <c r="N1677" s="1469">
        <v>1.5534845658316301</v>
      </c>
      <c r="O1677" s="1469"/>
    </row>
    <row r="1678" spans="11:15">
      <c r="K1678" s="1466">
        <v>43735</v>
      </c>
      <c r="L1678" s="1467" t="s">
        <v>2127</v>
      </c>
      <c r="M1678" s="1468">
        <v>2.0872000000000002E-2</v>
      </c>
      <c r="N1678" s="1469">
        <v>1.5538088091302105</v>
      </c>
      <c r="O1678" s="1469"/>
    </row>
    <row r="1679" spans="11:15">
      <c r="K1679" s="1466">
        <v>43736</v>
      </c>
      <c r="L1679" s="1467"/>
      <c r="M1679" s="1468">
        <v>0</v>
      </c>
      <c r="N1679" s="1469">
        <v>1.5538088091302105</v>
      </c>
      <c r="O1679" s="1469"/>
    </row>
    <row r="1680" spans="11:15">
      <c r="K1680" s="1466">
        <v>43737</v>
      </c>
      <c r="L1680" s="1467"/>
      <c r="M1680" s="1468">
        <v>0</v>
      </c>
      <c r="N1680" s="1469">
        <v>1.5538088091302105</v>
      </c>
      <c r="O1680" s="1469"/>
    </row>
    <row r="1681" spans="11:15">
      <c r="K1681" s="1466">
        <v>43738</v>
      </c>
      <c r="L1681" s="1467" t="s">
        <v>2127</v>
      </c>
      <c r="M1681" s="1468">
        <v>2.0872000000000002E-2</v>
      </c>
      <c r="N1681" s="1469">
        <v>1.5541331201048523</v>
      </c>
      <c r="O1681" s="1469"/>
    </row>
    <row r="1682" spans="11:15">
      <c r="K1682" s="1466">
        <v>43739</v>
      </c>
      <c r="L1682" s="1467" t="s">
        <v>2127</v>
      </c>
      <c r="M1682" s="1468">
        <v>2.0872000000000002E-2</v>
      </c>
      <c r="N1682" s="1469">
        <v>1.5544574987696806</v>
      </c>
      <c r="O1682" s="1469"/>
    </row>
    <row r="1683" spans="11:15">
      <c r="K1683" s="1466">
        <v>43740</v>
      </c>
      <c r="L1683" s="1467" t="s">
        <v>2127</v>
      </c>
      <c r="M1683" s="1468">
        <v>2.0872000000000002E-2</v>
      </c>
      <c r="N1683" s="1469">
        <v>1.5547819451388238</v>
      </c>
      <c r="O1683" s="1469"/>
    </row>
    <row r="1684" spans="11:15">
      <c r="K1684" s="1466">
        <v>43741</v>
      </c>
      <c r="L1684" s="1467" t="s">
        <v>2127</v>
      </c>
      <c r="M1684" s="1468">
        <v>2.0872000000000002E-2</v>
      </c>
      <c r="N1684" s="1469">
        <v>1.5551064592264132</v>
      </c>
      <c r="O1684" s="1469"/>
    </row>
    <row r="1685" spans="11:15">
      <c r="K1685" s="1466">
        <v>43742</v>
      </c>
      <c r="L1685" s="1467" t="s">
        <v>2127</v>
      </c>
      <c r="M1685" s="1468">
        <v>2.0872000000000002E-2</v>
      </c>
      <c r="N1685" s="1469">
        <v>1.555431041046583</v>
      </c>
      <c r="O1685" s="1469"/>
    </row>
    <row r="1686" spans="11:15">
      <c r="K1686" s="1466">
        <v>43743</v>
      </c>
      <c r="L1686" s="1467"/>
      <c r="M1686" s="1468">
        <v>0</v>
      </c>
      <c r="N1686" s="1469">
        <v>1.555431041046583</v>
      </c>
      <c r="O1686" s="1469"/>
    </row>
    <row r="1687" spans="11:15">
      <c r="K1687" s="1466">
        <v>43744</v>
      </c>
      <c r="L1687" s="1467"/>
      <c r="M1687" s="1468">
        <v>0</v>
      </c>
      <c r="N1687" s="1469">
        <v>1.555431041046583</v>
      </c>
      <c r="O1687" s="1469"/>
    </row>
    <row r="1688" spans="11:15">
      <c r="K1688" s="1466">
        <v>43745</v>
      </c>
      <c r="L1688" s="1467" t="s">
        <v>2127</v>
      </c>
      <c r="M1688" s="1468">
        <v>2.0872000000000002E-2</v>
      </c>
      <c r="N1688" s="1469">
        <v>1.5557556906134704</v>
      </c>
      <c r="O1688" s="1469"/>
    </row>
    <row r="1689" spans="11:15">
      <c r="K1689" s="1466">
        <v>43746</v>
      </c>
      <c r="L1689" s="1467" t="s">
        <v>2127</v>
      </c>
      <c r="M1689" s="1468">
        <v>2.0872000000000002E-2</v>
      </c>
      <c r="N1689" s="1469">
        <v>1.5560804079412154</v>
      </c>
      <c r="O1689" s="1469"/>
    </row>
    <row r="1690" spans="11:15">
      <c r="K1690" s="1466">
        <v>43747</v>
      </c>
      <c r="L1690" s="1467" t="s">
        <v>2127</v>
      </c>
      <c r="M1690" s="1468">
        <v>2.0872000000000002E-2</v>
      </c>
      <c r="N1690" s="1469">
        <v>1.5564051930439609</v>
      </c>
      <c r="O1690" s="1469"/>
    </row>
    <row r="1691" spans="11:15">
      <c r="K1691" s="1466">
        <v>43748</v>
      </c>
      <c r="L1691" s="1467" t="s">
        <v>2127</v>
      </c>
      <c r="M1691" s="1468">
        <v>2.0872000000000002E-2</v>
      </c>
      <c r="N1691" s="1469">
        <v>1.5567300459358531</v>
      </c>
      <c r="O1691" s="1469"/>
    </row>
    <row r="1692" spans="11:15">
      <c r="K1692" s="1466">
        <v>43749</v>
      </c>
      <c r="L1692" s="1467" t="s">
        <v>2127</v>
      </c>
      <c r="M1692" s="1468">
        <v>2.0872000000000002E-2</v>
      </c>
      <c r="N1692" s="1469">
        <v>1.5570549666310409</v>
      </c>
      <c r="O1692" s="1469"/>
    </row>
    <row r="1693" spans="11:15">
      <c r="K1693" s="1466">
        <v>43750</v>
      </c>
      <c r="L1693" s="1467"/>
      <c r="M1693" s="1468">
        <v>0</v>
      </c>
      <c r="N1693" s="1469">
        <v>1.5570549666310409</v>
      </c>
      <c r="O1693" s="1469"/>
    </row>
    <row r="1694" spans="11:15">
      <c r="K1694" s="1466">
        <v>43751</v>
      </c>
      <c r="L1694" s="1467"/>
      <c r="M1694" s="1468">
        <v>0</v>
      </c>
      <c r="N1694" s="1469">
        <v>1.5570549666310409</v>
      </c>
      <c r="O1694" s="1469"/>
    </row>
    <row r="1695" spans="11:15">
      <c r="K1695" s="1466">
        <v>43752</v>
      </c>
      <c r="L1695" s="1467" t="s">
        <v>2127</v>
      </c>
      <c r="M1695" s="1468">
        <v>2.0872000000000002E-2</v>
      </c>
      <c r="N1695" s="1469">
        <v>1.5573799551436762</v>
      </c>
      <c r="O1695" s="1469"/>
    </row>
    <row r="1696" spans="11:15">
      <c r="K1696" s="1466">
        <v>43753</v>
      </c>
      <c r="L1696" s="1467" t="s">
        <v>2127</v>
      </c>
      <c r="M1696" s="1468">
        <v>2.0872000000000002E-2</v>
      </c>
      <c r="N1696" s="1469">
        <v>1.5577050114879138</v>
      </c>
      <c r="O1696" s="1469"/>
    </row>
    <row r="1697" spans="11:15">
      <c r="K1697" s="1466">
        <v>43754</v>
      </c>
      <c r="L1697" s="1467" t="s">
        <v>2127</v>
      </c>
      <c r="M1697" s="1468">
        <v>2.0872000000000002E-2</v>
      </c>
      <c r="N1697" s="1469">
        <v>1.5580301356779116</v>
      </c>
      <c r="O1697" s="1469"/>
    </row>
    <row r="1698" spans="11:15">
      <c r="K1698" s="1466">
        <v>43755</v>
      </c>
      <c r="L1698" s="1467" t="s">
        <v>2127</v>
      </c>
      <c r="M1698" s="1468">
        <v>2.0872000000000002E-2</v>
      </c>
      <c r="N1698" s="1469">
        <v>1.5583553277278304</v>
      </c>
      <c r="O1698" s="1469"/>
    </row>
    <row r="1699" spans="11:15">
      <c r="K1699" s="1466">
        <v>43756</v>
      </c>
      <c r="L1699" s="1467" t="s">
        <v>2127</v>
      </c>
      <c r="M1699" s="1468">
        <v>2.0872000000000002E-2</v>
      </c>
      <c r="N1699" s="1469">
        <v>1.5586805876518337</v>
      </c>
      <c r="O1699" s="1469"/>
    </row>
    <row r="1700" spans="11:15">
      <c r="K1700" s="1466">
        <v>43757</v>
      </c>
      <c r="L1700" s="1467"/>
      <c r="M1700" s="1468">
        <v>0</v>
      </c>
      <c r="N1700" s="1469">
        <v>1.5586805876518337</v>
      </c>
      <c r="O1700" s="1469"/>
    </row>
    <row r="1701" spans="11:15">
      <c r="K1701" s="1466">
        <v>43758</v>
      </c>
      <c r="L1701" s="1467"/>
      <c r="M1701" s="1468">
        <v>0</v>
      </c>
      <c r="N1701" s="1469">
        <v>1.5586805876518337</v>
      </c>
      <c r="O1701" s="1469"/>
    </row>
    <row r="1702" spans="11:15">
      <c r="K1702" s="1466">
        <v>43759</v>
      </c>
      <c r="L1702" s="1467" t="s">
        <v>2127</v>
      </c>
      <c r="M1702" s="1468">
        <v>2.0872000000000002E-2</v>
      </c>
      <c r="N1702" s="1469">
        <v>1.5590059154640885</v>
      </c>
      <c r="O1702" s="1469"/>
    </row>
    <row r="1703" spans="11:15">
      <c r="K1703" s="1466">
        <v>43760</v>
      </c>
      <c r="L1703" s="1467" t="s">
        <v>2127</v>
      </c>
      <c r="M1703" s="1468">
        <v>2.0872000000000002E-2</v>
      </c>
      <c r="N1703" s="1469">
        <v>1.5593313111787643</v>
      </c>
      <c r="O1703" s="1469"/>
    </row>
    <row r="1704" spans="11:15">
      <c r="K1704" s="1466">
        <v>43761</v>
      </c>
      <c r="L1704" s="1467" t="s">
        <v>2127</v>
      </c>
      <c r="M1704" s="1468">
        <v>2.0872000000000002E-2</v>
      </c>
      <c r="N1704" s="1469">
        <v>1.5596567748100336</v>
      </c>
      <c r="O1704" s="1469"/>
    </row>
    <row r="1705" spans="11:15">
      <c r="K1705" s="1466">
        <v>43762</v>
      </c>
      <c r="L1705" s="1467" t="s">
        <v>2127</v>
      </c>
      <c r="M1705" s="1468">
        <v>2.0872000000000002E-2</v>
      </c>
      <c r="N1705" s="1469">
        <v>1.5599823063720721</v>
      </c>
      <c r="O1705" s="1469"/>
    </row>
    <row r="1706" spans="11:15">
      <c r="K1706" s="1466">
        <v>43763</v>
      </c>
      <c r="L1706" s="1467" t="s">
        <v>2127</v>
      </c>
      <c r="M1706" s="1468">
        <v>2.0872000000000002E-2</v>
      </c>
      <c r="N1706" s="1469">
        <v>1.5603079058790581</v>
      </c>
      <c r="O1706" s="1469"/>
    </row>
    <row r="1707" spans="11:15">
      <c r="K1707" s="1466">
        <v>43764</v>
      </c>
      <c r="L1707" s="1467"/>
      <c r="M1707" s="1468">
        <v>0</v>
      </c>
      <c r="N1707" s="1469">
        <v>1.5603079058790581</v>
      </c>
      <c r="O1707" s="1469"/>
    </row>
    <row r="1708" spans="11:15">
      <c r="K1708" s="1466">
        <v>43765</v>
      </c>
      <c r="L1708" s="1467"/>
      <c r="M1708" s="1468">
        <v>0</v>
      </c>
      <c r="N1708" s="1469">
        <v>1.5603079058790581</v>
      </c>
      <c r="O1708" s="1469"/>
    </row>
    <row r="1709" spans="11:15">
      <c r="K1709" s="1466">
        <v>43766</v>
      </c>
      <c r="L1709" s="1467" t="s">
        <v>2127</v>
      </c>
      <c r="M1709" s="1468">
        <v>2.0872000000000002E-2</v>
      </c>
      <c r="N1709" s="1469">
        <v>1.5606335733451733</v>
      </c>
      <c r="O1709" s="1469"/>
    </row>
    <row r="1710" spans="11:15">
      <c r="K1710" s="1466">
        <v>43767</v>
      </c>
      <c r="L1710" s="1467" t="s">
        <v>2127</v>
      </c>
      <c r="M1710" s="1468">
        <v>2.0872000000000002E-2</v>
      </c>
      <c r="N1710" s="1469">
        <v>1.5609593087846019</v>
      </c>
      <c r="O1710" s="1469"/>
    </row>
    <row r="1711" spans="11:15">
      <c r="K1711" s="1466">
        <v>43768</v>
      </c>
      <c r="L1711" s="1467" t="s">
        <v>2127</v>
      </c>
      <c r="M1711" s="1468">
        <v>2.0872000000000002E-2</v>
      </c>
      <c r="N1711" s="1469">
        <v>1.5612851122115314</v>
      </c>
      <c r="O1711" s="1469"/>
    </row>
    <row r="1712" spans="11:15">
      <c r="K1712" s="1466">
        <v>43769</v>
      </c>
      <c r="L1712" s="1467" t="s">
        <v>2127</v>
      </c>
      <c r="M1712" s="1468">
        <v>1.8984999999999998E-2</v>
      </c>
      <c r="N1712" s="1469">
        <v>1.5615815221900846</v>
      </c>
      <c r="O1712" s="1469"/>
    </row>
    <row r="1713" spans="11:15">
      <c r="K1713" s="1466">
        <v>43770</v>
      </c>
      <c r="L1713" s="1467" t="s">
        <v>2127</v>
      </c>
      <c r="M1713" s="1468">
        <v>1.8984999999999998E-2</v>
      </c>
      <c r="N1713" s="1469">
        <v>1.5618779884420724</v>
      </c>
      <c r="O1713" s="1469"/>
    </row>
    <row r="1714" spans="11:15">
      <c r="K1714" s="1466">
        <v>43771</v>
      </c>
      <c r="L1714" s="1467"/>
      <c r="M1714" s="1468">
        <v>0</v>
      </c>
      <c r="N1714" s="1469">
        <v>1.5618779884420724</v>
      </c>
      <c r="O1714" s="1469"/>
    </row>
    <row r="1715" spans="11:15">
      <c r="K1715" s="1466">
        <v>43772</v>
      </c>
      <c r="L1715" s="1467"/>
      <c r="M1715" s="1468">
        <v>0</v>
      </c>
      <c r="N1715" s="1469">
        <v>1.5618779884420724</v>
      </c>
      <c r="O1715" s="1469"/>
    </row>
    <row r="1716" spans="11:15">
      <c r="K1716" s="1466">
        <v>43773</v>
      </c>
      <c r="L1716" s="1467" t="s">
        <v>2127</v>
      </c>
      <c r="M1716" s="1468">
        <v>1.8984999999999998E-2</v>
      </c>
      <c r="N1716" s="1469">
        <v>1.5621745109781779</v>
      </c>
      <c r="O1716" s="1469"/>
    </row>
    <row r="1717" spans="11:15">
      <c r="K1717" s="1466">
        <v>43774</v>
      </c>
      <c r="L1717" s="1467" t="s">
        <v>2127</v>
      </c>
      <c r="M1717" s="1468">
        <v>1.8984999999999998E-2</v>
      </c>
      <c r="N1717" s="1469">
        <v>1.562471089809087</v>
      </c>
      <c r="O1717" s="1469"/>
    </row>
    <row r="1718" spans="11:15">
      <c r="K1718" s="1466">
        <v>43775</v>
      </c>
      <c r="L1718" s="1467" t="s">
        <v>2127</v>
      </c>
      <c r="M1718" s="1468">
        <v>1.8984999999999998E-2</v>
      </c>
      <c r="N1718" s="1469">
        <v>1.5627677249454872</v>
      </c>
      <c r="O1718" s="1469"/>
    </row>
    <row r="1719" spans="11:15">
      <c r="K1719" s="1466">
        <v>43776</v>
      </c>
      <c r="L1719" s="1467" t="s">
        <v>2127</v>
      </c>
      <c r="M1719" s="1468">
        <v>1.8984999999999998E-2</v>
      </c>
      <c r="N1719" s="1469">
        <v>1.563064416398068</v>
      </c>
      <c r="O1719" s="1469"/>
    </row>
    <row r="1720" spans="11:15">
      <c r="K1720" s="1466">
        <v>43777</v>
      </c>
      <c r="L1720" s="1467" t="s">
        <v>2127</v>
      </c>
      <c r="M1720" s="1468">
        <v>1.8984999999999998E-2</v>
      </c>
      <c r="N1720" s="1469">
        <v>1.5633611641775211</v>
      </c>
      <c r="O1720" s="1469"/>
    </row>
    <row r="1721" spans="11:15">
      <c r="K1721" s="1466">
        <v>43778</v>
      </c>
      <c r="L1721" s="1467"/>
      <c r="M1721" s="1468">
        <v>0</v>
      </c>
      <c r="N1721" s="1469">
        <v>1.5633611641775211</v>
      </c>
      <c r="O1721" s="1469"/>
    </row>
    <row r="1722" spans="11:15">
      <c r="K1722" s="1466">
        <v>43779</v>
      </c>
      <c r="L1722" s="1467"/>
      <c r="M1722" s="1468">
        <v>0</v>
      </c>
      <c r="N1722" s="1469">
        <v>1.5633611641775211</v>
      </c>
      <c r="O1722" s="1469"/>
    </row>
    <row r="1723" spans="11:15">
      <c r="K1723" s="1466">
        <v>43780</v>
      </c>
      <c r="L1723" s="1467" t="s">
        <v>2127</v>
      </c>
      <c r="M1723" s="1468">
        <v>1.8984999999999998E-2</v>
      </c>
      <c r="N1723" s="1469">
        <v>1.5636579682945402</v>
      </c>
      <c r="O1723" s="1469"/>
    </row>
    <row r="1724" spans="11:15">
      <c r="K1724" s="1466">
        <v>43781</v>
      </c>
      <c r="L1724" s="1467" t="s">
        <v>2127</v>
      </c>
      <c r="M1724" s="1468">
        <v>1.8984999999999998E-2</v>
      </c>
      <c r="N1724" s="1469">
        <v>1.5639548287598208</v>
      </c>
      <c r="O1724" s="1469"/>
    </row>
    <row r="1725" spans="11:15">
      <c r="K1725" s="1466">
        <v>43782</v>
      </c>
      <c r="L1725" s="1467" t="s">
        <v>2127</v>
      </c>
      <c r="M1725" s="1468">
        <v>1.8984999999999998E-2</v>
      </c>
      <c r="N1725" s="1469">
        <v>1.5642517455840608</v>
      </c>
      <c r="O1725" s="1469"/>
    </row>
    <row r="1726" spans="11:15">
      <c r="K1726" s="1466">
        <v>43783</v>
      </c>
      <c r="L1726" s="1467" t="s">
        <v>2127</v>
      </c>
      <c r="M1726" s="1468">
        <v>1.8984999999999998E-2</v>
      </c>
      <c r="N1726" s="1469">
        <v>1.5645487187779599</v>
      </c>
      <c r="O1726" s="1469"/>
    </row>
    <row r="1727" spans="11:15">
      <c r="K1727" s="1466">
        <v>43784</v>
      </c>
      <c r="L1727" s="1467"/>
      <c r="M1727" s="1468">
        <v>0</v>
      </c>
      <c r="N1727" s="1469">
        <v>1.5645487187779599</v>
      </c>
      <c r="O1727" s="1469"/>
    </row>
    <row r="1728" spans="11:15">
      <c r="K1728" s="1466">
        <v>43785</v>
      </c>
      <c r="L1728" s="1467"/>
      <c r="M1728" s="1468">
        <v>0</v>
      </c>
      <c r="N1728" s="1469">
        <v>1.5645487187779599</v>
      </c>
      <c r="O1728" s="1469"/>
    </row>
    <row r="1729" spans="11:15">
      <c r="K1729" s="1466">
        <v>43786</v>
      </c>
      <c r="L1729" s="1467"/>
      <c r="M1729" s="1468">
        <v>0</v>
      </c>
      <c r="N1729" s="1469">
        <v>1.5645487187779599</v>
      </c>
      <c r="O1729" s="1469"/>
    </row>
    <row r="1730" spans="11:15">
      <c r="K1730" s="1466">
        <v>43787</v>
      </c>
      <c r="L1730" s="1467" t="s">
        <v>2127</v>
      </c>
      <c r="M1730" s="1468">
        <v>1.8984999999999998E-2</v>
      </c>
      <c r="N1730" s="1469">
        <v>1.5648457483522198</v>
      </c>
      <c r="O1730" s="1469"/>
    </row>
    <row r="1731" spans="11:15">
      <c r="K1731" s="1466">
        <v>43788</v>
      </c>
      <c r="L1731" s="1467" t="s">
        <v>2127</v>
      </c>
      <c r="M1731" s="1468">
        <v>1.8984999999999998E-2</v>
      </c>
      <c r="N1731" s="1469">
        <v>1.5651428343175444</v>
      </c>
      <c r="O1731" s="1469"/>
    </row>
    <row r="1732" spans="11:15">
      <c r="K1732" s="1466">
        <v>43789</v>
      </c>
      <c r="L1732" s="1467" t="s">
        <v>2127</v>
      </c>
      <c r="M1732" s="1468">
        <v>1.8984999999999998E-2</v>
      </c>
      <c r="N1732" s="1469">
        <v>1.5654399766846394</v>
      </c>
      <c r="O1732" s="1469"/>
    </row>
    <row r="1733" spans="11:15">
      <c r="K1733" s="1466">
        <v>43790</v>
      </c>
      <c r="L1733" s="1467" t="s">
        <v>2127</v>
      </c>
      <c r="M1733" s="1468">
        <v>1.8984999999999998E-2</v>
      </c>
      <c r="N1733" s="1469">
        <v>1.5657371754642129</v>
      </c>
      <c r="O1733" s="1469"/>
    </row>
    <row r="1734" spans="11:15">
      <c r="K1734" s="1466">
        <v>43791</v>
      </c>
      <c r="L1734" s="1467" t="s">
        <v>2127</v>
      </c>
      <c r="M1734" s="1468">
        <v>1.8984999999999998E-2</v>
      </c>
      <c r="N1734" s="1469">
        <v>1.5660344306669747</v>
      </c>
      <c r="O1734" s="1469"/>
    </row>
    <row r="1735" spans="11:15">
      <c r="K1735" s="1466">
        <v>43792</v>
      </c>
      <c r="L1735" s="1467"/>
      <c r="M1735" s="1468">
        <v>0</v>
      </c>
      <c r="N1735" s="1469">
        <v>1.5660344306669747</v>
      </c>
      <c r="O1735" s="1469"/>
    </row>
    <row r="1736" spans="11:15">
      <c r="K1736" s="1466">
        <v>43793</v>
      </c>
      <c r="L1736" s="1467"/>
      <c r="M1736" s="1468">
        <v>0</v>
      </c>
      <c r="N1736" s="1469">
        <v>1.5660344306669747</v>
      </c>
      <c r="O1736" s="1469"/>
    </row>
    <row r="1737" spans="11:15">
      <c r="K1737" s="1466">
        <v>43794</v>
      </c>
      <c r="L1737" s="1467" t="s">
        <v>2127</v>
      </c>
      <c r="M1737" s="1468">
        <v>1.8984999999999998E-2</v>
      </c>
      <c r="N1737" s="1469">
        <v>1.5663317423036367</v>
      </c>
      <c r="O1737" s="1469"/>
    </row>
    <row r="1738" spans="11:15">
      <c r="K1738" s="1466">
        <v>43795</v>
      </c>
      <c r="L1738" s="1467" t="s">
        <v>2127</v>
      </c>
      <c r="M1738" s="1468">
        <v>1.8984999999999998E-2</v>
      </c>
      <c r="N1738" s="1469">
        <v>1.566629110384913</v>
      </c>
      <c r="O1738" s="1469"/>
    </row>
    <row r="1739" spans="11:15">
      <c r="K1739" s="1466">
        <v>43796</v>
      </c>
      <c r="L1739" s="1467" t="s">
        <v>2127</v>
      </c>
      <c r="M1739" s="1468">
        <v>1.8984999999999998E-2</v>
      </c>
      <c r="N1739" s="1469">
        <v>1.5669265349215196</v>
      </c>
      <c r="O1739" s="1469"/>
    </row>
    <row r="1740" spans="11:15">
      <c r="K1740" s="1466">
        <v>43797</v>
      </c>
      <c r="L1740" s="1467" t="s">
        <v>2127</v>
      </c>
      <c r="M1740" s="1468">
        <v>1.8984999999999998E-2</v>
      </c>
      <c r="N1740" s="1469">
        <v>1.5672240159241744</v>
      </c>
      <c r="O1740" s="1469"/>
    </row>
    <row r="1741" spans="11:15">
      <c r="K1741" s="1466">
        <v>43798</v>
      </c>
      <c r="L1741" s="1467" t="s">
        <v>2127</v>
      </c>
      <c r="M1741" s="1468">
        <v>1.8984999999999998E-2</v>
      </c>
      <c r="N1741" s="1469">
        <v>1.5675215534035976</v>
      </c>
      <c r="O1741" s="1469"/>
    </row>
    <row r="1742" spans="11:15">
      <c r="K1742" s="1466">
        <v>43799</v>
      </c>
      <c r="L1742" s="1467"/>
      <c r="M1742" s="1468">
        <v>0</v>
      </c>
      <c r="N1742" s="1469">
        <v>1.5675215534035976</v>
      </c>
      <c r="O1742" s="1469"/>
    </row>
    <row r="1743" spans="11:15">
      <c r="K1743" s="1466">
        <v>43800</v>
      </c>
      <c r="L1743" s="1467"/>
      <c r="M1743" s="1468">
        <v>0</v>
      </c>
      <c r="N1743" s="1469">
        <v>1.5675215534035976</v>
      </c>
      <c r="O1743" s="1469"/>
    </row>
    <row r="1744" spans="11:15">
      <c r="K1744" s="1466">
        <v>43801</v>
      </c>
      <c r="L1744" s="1467" t="s">
        <v>2127</v>
      </c>
      <c r="M1744" s="1468">
        <v>1.8984999999999998E-2</v>
      </c>
      <c r="N1744" s="1469">
        <v>1.5678191473705112</v>
      </c>
      <c r="O1744" s="1469"/>
    </row>
    <row r="1745" spans="11:15">
      <c r="K1745" s="1466">
        <v>43802</v>
      </c>
      <c r="L1745" s="1467" t="s">
        <v>2127</v>
      </c>
      <c r="M1745" s="1468">
        <v>1.8984999999999998E-2</v>
      </c>
      <c r="N1745" s="1469">
        <v>1.5681167978356394</v>
      </c>
      <c r="O1745" s="1469"/>
    </row>
    <row r="1746" spans="11:15">
      <c r="K1746" s="1466">
        <v>43803</v>
      </c>
      <c r="L1746" s="1467" t="s">
        <v>2127</v>
      </c>
      <c r="M1746" s="1468">
        <v>1.8984999999999998E-2</v>
      </c>
      <c r="N1746" s="1469">
        <v>1.5684145048097085</v>
      </c>
      <c r="O1746" s="1469"/>
    </row>
    <row r="1747" spans="11:15">
      <c r="K1747" s="1466">
        <v>43804</v>
      </c>
      <c r="L1747" s="1467" t="s">
        <v>2127</v>
      </c>
      <c r="M1747" s="1468">
        <v>1.8984999999999998E-2</v>
      </c>
      <c r="N1747" s="1469">
        <v>1.5687122683034465</v>
      </c>
      <c r="O1747" s="1469"/>
    </row>
    <row r="1748" spans="11:15">
      <c r="K1748" s="1466">
        <v>43805</v>
      </c>
      <c r="L1748" s="1467" t="s">
        <v>2127</v>
      </c>
      <c r="M1748" s="1468">
        <v>1.8984999999999998E-2</v>
      </c>
      <c r="N1748" s="1469">
        <v>1.5690100883275837</v>
      </c>
      <c r="O1748" s="1469"/>
    </row>
    <row r="1749" spans="11:15">
      <c r="K1749" s="1466">
        <v>43806</v>
      </c>
      <c r="L1749" s="1467"/>
      <c r="M1749" s="1468">
        <v>0</v>
      </c>
      <c r="N1749" s="1469">
        <v>1.5690100883275837</v>
      </c>
      <c r="O1749" s="1469"/>
    </row>
    <row r="1750" spans="11:15">
      <c r="K1750" s="1466">
        <v>43807</v>
      </c>
      <c r="L1750" s="1467"/>
      <c r="M1750" s="1468">
        <v>0</v>
      </c>
      <c r="N1750" s="1469">
        <v>1.5690100883275837</v>
      </c>
      <c r="O1750" s="1469"/>
    </row>
    <row r="1751" spans="11:15">
      <c r="K1751" s="1466">
        <v>43808</v>
      </c>
      <c r="L1751" s="1467" t="s">
        <v>2127</v>
      </c>
      <c r="M1751" s="1468">
        <v>1.8984999999999998E-2</v>
      </c>
      <c r="N1751" s="1469">
        <v>1.5693079648928525</v>
      </c>
      <c r="O1751" s="1469"/>
    </row>
    <row r="1752" spans="11:15">
      <c r="K1752" s="1466">
        <v>43809</v>
      </c>
      <c r="L1752" s="1467" t="s">
        <v>2127</v>
      </c>
      <c r="M1752" s="1468">
        <v>1.8984999999999998E-2</v>
      </c>
      <c r="N1752" s="1469">
        <v>1.5696058980099874</v>
      </c>
      <c r="O1752" s="1469"/>
    </row>
    <row r="1753" spans="11:15">
      <c r="K1753" s="1466">
        <v>43810</v>
      </c>
      <c r="L1753" s="1467" t="s">
        <v>2127</v>
      </c>
      <c r="M1753" s="1468">
        <v>1.8984999999999998E-2</v>
      </c>
      <c r="N1753" s="1469">
        <v>1.5699038876897244</v>
      </c>
      <c r="O1753" s="1469"/>
    </row>
    <row r="1754" spans="11:15">
      <c r="K1754" s="1466">
        <v>43811</v>
      </c>
      <c r="L1754" s="1467" t="s">
        <v>2127</v>
      </c>
      <c r="M1754" s="1468">
        <v>1.7089E-2</v>
      </c>
      <c r="N1754" s="1469">
        <v>1.5701721685650916</v>
      </c>
      <c r="O1754" s="1469"/>
    </row>
    <row r="1755" spans="11:15">
      <c r="K1755" s="1466">
        <v>43812</v>
      </c>
      <c r="L1755" s="1467" t="s">
        <v>2127</v>
      </c>
      <c r="M1755" s="1468">
        <v>1.7089E-2</v>
      </c>
      <c r="N1755" s="1469">
        <v>1.5704404952869775</v>
      </c>
      <c r="O1755" s="1469"/>
    </row>
    <row r="1756" spans="11:15">
      <c r="K1756" s="1466">
        <v>43813</v>
      </c>
      <c r="L1756" s="1467"/>
      <c r="M1756" s="1468">
        <v>0</v>
      </c>
      <c r="N1756" s="1469">
        <v>1.5704404952869775</v>
      </c>
      <c r="O1756" s="1469"/>
    </row>
    <row r="1757" spans="11:15">
      <c r="K1757" s="1466">
        <v>43814</v>
      </c>
      <c r="L1757" s="1467"/>
      <c r="M1757" s="1468">
        <v>0</v>
      </c>
      <c r="N1757" s="1469">
        <v>1.5704404952869775</v>
      </c>
      <c r="O1757" s="1469"/>
    </row>
    <row r="1758" spans="11:15">
      <c r="K1758" s="1466">
        <v>43815</v>
      </c>
      <c r="L1758" s="1467" t="s">
        <v>2127</v>
      </c>
      <c r="M1758" s="1468">
        <v>1.7089E-2</v>
      </c>
      <c r="N1758" s="1469">
        <v>1.5707088678632171</v>
      </c>
      <c r="O1758" s="1469"/>
    </row>
    <row r="1759" spans="11:15">
      <c r="K1759" s="1466">
        <v>43816</v>
      </c>
      <c r="L1759" s="1467" t="s">
        <v>2127</v>
      </c>
      <c r="M1759" s="1468">
        <v>1.7089E-2</v>
      </c>
      <c r="N1759" s="1469">
        <v>1.570977286301646</v>
      </c>
      <c r="O1759" s="1469"/>
    </row>
    <row r="1760" spans="11:15">
      <c r="K1760" s="1466">
        <v>43817</v>
      </c>
      <c r="L1760" s="1467" t="s">
        <v>2127</v>
      </c>
      <c r="M1760" s="1468">
        <v>1.7089E-2</v>
      </c>
      <c r="N1760" s="1469">
        <v>1.5712457506101021</v>
      </c>
      <c r="O1760" s="1469"/>
    </row>
    <row r="1761" spans="11:15">
      <c r="K1761" s="1466">
        <v>43818</v>
      </c>
      <c r="L1761" s="1467" t="s">
        <v>2127</v>
      </c>
      <c r="M1761" s="1468">
        <v>1.7089E-2</v>
      </c>
      <c r="N1761" s="1469">
        <v>1.5715142607964236</v>
      </c>
      <c r="O1761" s="1469"/>
    </row>
    <row r="1762" spans="11:15">
      <c r="K1762" s="1466">
        <v>43819</v>
      </c>
      <c r="L1762" s="1467" t="s">
        <v>2127</v>
      </c>
      <c r="M1762" s="1468">
        <v>1.7089E-2</v>
      </c>
      <c r="N1762" s="1469">
        <v>1.5717828168684511</v>
      </c>
      <c r="O1762" s="1469"/>
    </row>
    <row r="1763" spans="11:15">
      <c r="K1763" s="1466">
        <v>43820</v>
      </c>
      <c r="L1763" s="1467"/>
      <c r="M1763" s="1468">
        <v>0</v>
      </c>
      <c r="N1763" s="1469">
        <v>1.5717828168684511</v>
      </c>
      <c r="O1763" s="1469"/>
    </row>
    <row r="1764" spans="11:15">
      <c r="K1764" s="1466">
        <v>43821</v>
      </c>
      <c r="L1764" s="1467"/>
      <c r="M1764" s="1468">
        <v>0</v>
      </c>
      <c r="N1764" s="1469">
        <v>1.5717828168684511</v>
      </c>
      <c r="O1764" s="1469"/>
    </row>
    <row r="1765" spans="11:15">
      <c r="K1765" s="1466">
        <v>43822</v>
      </c>
      <c r="L1765" s="1467" t="s">
        <v>2127</v>
      </c>
      <c r="M1765" s="1468">
        <v>1.7089E-2</v>
      </c>
      <c r="N1765" s="1469">
        <v>1.5720514188340255</v>
      </c>
      <c r="O1765" s="1469"/>
    </row>
    <row r="1766" spans="11:15">
      <c r="K1766" s="1466">
        <v>43823</v>
      </c>
      <c r="L1766" s="1467" t="s">
        <v>2127</v>
      </c>
      <c r="M1766" s="1468">
        <v>1.7089E-2</v>
      </c>
      <c r="N1766" s="1469">
        <v>1.57232006670099</v>
      </c>
      <c r="O1766" s="1469"/>
    </row>
    <row r="1767" spans="11:15">
      <c r="K1767" s="1466">
        <v>43824</v>
      </c>
      <c r="L1767" s="1467"/>
      <c r="M1767" s="1468">
        <v>0</v>
      </c>
      <c r="N1767" s="1469">
        <v>1.57232006670099</v>
      </c>
      <c r="O1767" s="1469"/>
    </row>
    <row r="1768" spans="11:15">
      <c r="K1768" s="1466">
        <v>43825</v>
      </c>
      <c r="L1768" s="1467" t="s">
        <v>2127</v>
      </c>
      <c r="M1768" s="1468">
        <v>1.7089E-2</v>
      </c>
      <c r="N1768" s="1469">
        <v>1.5725887604771884</v>
      </c>
      <c r="O1768" s="1469"/>
    </row>
    <row r="1769" spans="11:15">
      <c r="K1769" s="1466">
        <v>43826</v>
      </c>
      <c r="L1769" s="1467" t="s">
        <v>2127</v>
      </c>
      <c r="M1769" s="1468">
        <v>1.7089E-2</v>
      </c>
      <c r="N1769" s="1469">
        <v>1.5728575001704663</v>
      </c>
      <c r="O1769" s="1469"/>
    </row>
    <row r="1770" spans="11:15">
      <c r="K1770" s="1466">
        <v>43827</v>
      </c>
      <c r="L1770" s="1467"/>
      <c r="M1770" s="1468">
        <v>0</v>
      </c>
      <c r="N1770" s="1469">
        <v>1.5728575001704663</v>
      </c>
      <c r="O1770" s="1469"/>
    </row>
    <row r="1771" spans="11:15">
      <c r="K1771" s="1466">
        <v>43828</v>
      </c>
      <c r="L1771" s="1467"/>
      <c r="M1771" s="1468">
        <v>0</v>
      </c>
      <c r="N1771" s="1469">
        <v>1.5728575001704663</v>
      </c>
      <c r="O1771" s="1469"/>
    </row>
    <row r="1772" spans="11:15">
      <c r="K1772" s="1466">
        <v>43829</v>
      </c>
      <c r="L1772" s="1467" t="s">
        <v>2127</v>
      </c>
      <c r="M1772" s="1468">
        <v>1.7089E-2</v>
      </c>
      <c r="N1772" s="1469">
        <v>1.5731262857886703</v>
      </c>
      <c r="O1772" s="1469"/>
    </row>
    <row r="1773" spans="11:15">
      <c r="K1773" s="1466">
        <v>43830</v>
      </c>
      <c r="L1773" s="1467" t="s">
        <v>2127</v>
      </c>
      <c r="M1773" s="1468">
        <v>1.7089E-2</v>
      </c>
      <c r="N1773" s="1469">
        <v>1.5733951173396485</v>
      </c>
      <c r="O1773" s="1469"/>
    </row>
    <row r="1774" spans="11:15">
      <c r="K1774" s="1466">
        <v>43831</v>
      </c>
      <c r="L1774" s="1467"/>
      <c r="M1774" s="1468">
        <v>0</v>
      </c>
      <c r="N1774" s="1469">
        <v>1.5733951173396485</v>
      </c>
      <c r="O1774" s="1469"/>
    </row>
    <row r="1775" spans="11:15">
      <c r="K1775" s="1466">
        <v>43832</v>
      </c>
      <c r="L1775" s="1467" t="s">
        <v>2127</v>
      </c>
      <c r="M1775" s="1468">
        <v>1.7089E-2</v>
      </c>
      <c r="N1775" s="1469">
        <v>1.5736639948312505</v>
      </c>
      <c r="O1775" s="1469"/>
    </row>
    <row r="1776" spans="11:15">
      <c r="K1776" s="1466">
        <v>43833</v>
      </c>
      <c r="L1776" s="1467" t="s">
        <v>2127</v>
      </c>
      <c r="M1776" s="1468">
        <v>1.7089E-2</v>
      </c>
      <c r="N1776" s="1469">
        <v>1.5739329182713271</v>
      </c>
      <c r="O1776" s="1469"/>
    </row>
    <row r="1777" spans="11:15">
      <c r="K1777" s="1466">
        <v>43834</v>
      </c>
      <c r="L1777" s="1467"/>
      <c r="M1777" s="1468">
        <v>0</v>
      </c>
      <c r="N1777" s="1469">
        <v>1.5739329182713271</v>
      </c>
      <c r="O1777" s="1469"/>
    </row>
    <row r="1778" spans="11:15">
      <c r="K1778" s="1466">
        <v>43835</v>
      </c>
      <c r="L1778" s="1467"/>
      <c r="M1778" s="1468">
        <v>0</v>
      </c>
      <c r="N1778" s="1469">
        <v>1.5739329182713271</v>
      </c>
      <c r="O1778" s="1469"/>
    </row>
    <row r="1779" spans="11:15">
      <c r="K1779" s="1466">
        <v>43836</v>
      </c>
      <c r="L1779" s="1467" t="s">
        <v>2127</v>
      </c>
      <c r="M1779" s="1468">
        <v>1.7089E-2</v>
      </c>
      <c r="N1779" s="1469">
        <v>1.5742018876677304</v>
      </c>
      <c r="O1779" s="1469"/>
    </row>
    <row r="1780" spans="11:15">
      <c r="K1780" s="1466">
        <v>43837</v>
      </c>
      <c r="L1780" s="1467" t="s">
        <v>2127</v>
      </c>
      <c r="M1780" s="1468">
        <v>1.7089E-2</v>
      </c>
      <c r="N1780" s="1469">
        <v>1.5744709030283137</v>
      </c>
      <c r="O1780" s="1469"/>
    </row>
    <row r="1781" spans="11:15">
      <c r="K1781" s="1466">
        <v>43838</v>
      </c>
      <c r="L1781" s="1467" t="s">
        <v>2127</v>
      </c>
      <c r="M1781" s="1468">
        <v>1.7089E-2</v>
      </c>
      <c r="N1781" s="1469">
        <v>1.5747399643609321</v>
      </c>
      <c r="O1781" s="1469"/>
    </row>
    <row r="1782" spans="11:15">
      <c r="K1782" s="1466">
        <v>43839</v>
      </c>
      <c r="L1782" s="1467" t="s">
        <v>2127</v>
      </c>
      <c r="M1782" s="1468">
        <v>1.7089E-2</v>
      </c>
      <c r="N1782" s="1469">
        <v>1.5750090716734417</v>
      </c>
      <c r="O1782" s="1469"/>
    </row>
    <row r="1783" spans="11:15">
      <c r="K1783" s="1466">
        <v>43840</v>
      </c>
      <c r="L1783" s="1467" t="s">
        <v>2127</v>
      </c>
      <c r="M1783" s="1468">
        <v>1.7089E-2</v>
      </c>
      <c r="N1783" s="1469">
        <v>1.5752782249736998</v>
      </c>
      <c r="O1783" s="1469"/>
    </row>
    <row r="1784" spans="11:15">
      <c r="K1784" s="1466">
        <v>43841</v>
      </c>
      <c r="L1784" s="1467"/>
      <c r="M1784" s="1468">
        <v>0</v>
      </c>
      <c r="N1784" s="1469">
        <v>1.5752782249736998</v>
      </c>
      <c r="O1784" s="1469"/>
    </row>
    <row r="1785" spans="11:15">
      <c r="K1785" s="1466">
        <v>43842</v>
      </c>
      <c r="L1785" s="1467"/>
      <c r="M1785" s="1468">
        <v>0</v>
      </c>
      <c r="N1785" s="1469">
        <v>1.5752782249736998</v>
      </c>
      <c r="O1785" s="1469"/>
    </row>
    <row r="1786" spans="11:15">
      <c r="K1786" s="1466">
        <v>43843</v>
      </c>
      <c r="L1786" s="1467" t="s">
        <v>2127</v>
      </c>
      <c r="M1786" s="1468">
        <v>1.7089E-2</v>
      </c>
      <c r="N1786" s="1469">
        <v>1.5755474242695655</v>
      </c>
      <c r="O1786" s="1469"/>
    </row>
    <row r="1787" spans="11:15">
      <c r="K1787" s="1466">
        <v>43844</v>
      </c>
      <c r="L1787" s="1467" t="s">
        <v>2127</v>
      </c>
      <c r="M1787" s="1468">
        <v>1.7089E-2</v>
      </c>
      <c r="N1787" s="1469">
        <v>1.5758166695688989</v>
      </c>
      <c r="O1787" s="1469"/>
    </row>
    <row r="1788" spans="11:15">
      <c r="K1788" s="1466">
        <v>43845</v>
      </c>
      <c r="L1788" s="1467" t="s">
        <v>2127</v>
      </c>
      <c r="M1788" s="1468">
        <v>1.7089E-2</v>
      </c>
      <c r="N1788" s="1469">
        <v>1.5760859608795614</v>
      </c>
      <c r="O1788" s="1469"/>
    </row>
    <row r="1789" spans="11:15">
      <c r="K1789" s="1466">
        <v>43846</v>
      </c>
      <c r="L1789" s="1467" t="s">
        <v>2127</v>
      </c>
      <c r="M1789" s="1468">
        <v>1.7089E-2</v>
      </c>
      <c r="N1789" s="1469">
        <v>1.576355298209416</v>
      </c>
      <c r="O1789" s="1469"/>
    </row>
    <row r="1790" spans="11:15">
      <c r="K1790" s="1466">
        <v>43847</v>
      </c>
      <c r="L1790" s="1467" t="s">
        <v>2127</v>
      </c>
      <c r="M1790" s="1468">
        <v>1.7089E-2</v>
      </c>
      <c r="N1790" s="1469">
        <v>1.576624681566327</v>
      </c>
      <c r="O1790" s="1469"/>
    </row>
    <row r="1791" spans="11:15">
      <c r="K1791" s="1466">
        <v>43848</v>
      </c>
      <c r="L1791" s="1467"/>
      <c r="M1791" s="1468">
        <v>0</v>
      </c>
      <c r="N1791" s="1469">
        <v>1.576624681566327</v>
      </c>
      <c r="O1791" s="1469"/>
    </row>
    <row r="1792" spans="11:15">
      <c r="K1792" s="1466">
        <v>43849</v>
      </c>
      <c r="L1792" s="1467"/>
      <c r="M1792" s="1468">
        <v>0</v>
      </c>
      <c r="N1792" s="1469">
        <v>1.576624681566327</v>
      </c>
      <c r="O1792" s="1469"/>
    </row>
    <row r="1793" spans="11:15">
      <c r="K1793" s="1466">
        <v>43850</v>
      </c>
      <c r="L1793" s="1467" t="s">
        <v>2127</v>
      </c>
      <c r="M1793" s="1468">
        <v>1.7089E-2</v>
      </c>
      <c r="N1793" s="1469">
        <v>1.5768941109581598</v>
      </c>
      <c r="O1793" s="1469"/>
    </row>
    <row r="1794" spans="11:15">
      <c r="K1794" s="1466">
        <v>43851</v>
      </c>
      <c r="L1794" s="1467" t="s">
        <v>2127</v>
      </c>
      <c r="M1794" s="1468">
        <v>1.7089E-2</v>
      </c>
      <c r="N1794" s="1469">
        <v>1.5771635863927813</v>
      </c>
      <c r="O1794" s="1469"/>
    </row>
    <row r="1795" spans="11:15">
      <c r="K1795" s="1466">
        <v>43852</v>
      </c>
      <c r="L1795" s="1467" t="s">
        <v>2127</v>
      </c>
      <c r="M1795" s="1468">
        <v>1.7089E-2</v>
      </c>
      <c r="N1795" s="1469">
        <v>1.5774331078780599</v>
      </c>
      <c r="O1795" s="1469"/>
    </row>
    <row r="1796" spans="11:15">
      <c r="K1796" s="1466">
        <v>43853</v>
      </c>
      <c r="L1796" s="1467" t="s">
        <v>2127</v>
      </c>
      <c r="M1796" s="1468">
        <v>1.7089E-2</v>
      </c>
      <c r="N1796" s="1469">
        <v>1.577702675421865</v>
      </c>
      <c r="O1796" s="1469"/>
    </row>
    <row r="1797" spans="11:15">
      <c r="K1797" s="1466">
        <v>43854</v>
      </c>
      <c r="L1797" s="1467" t="s">
        <v>2127</v>
      </c>
      <c r="M1797" s="1468">
        <v>1.7089E-2</v>
      </c>
      <c r="N1797" s="1469">
        <v>1.5779722890320678</v>
      </c>
      <c r="O1797" s="1469"/>
    </row>
    <row r="1798" spans="11:15">
      <c r="K1798" s="1466">
        <v>43855</v>
      </c>
      <c r="L1798" s="1467"/>
      <c r="M1798" s="1468">
        <v>0</v>
      </c>
      <c r="N1798" s="1469">
        <v>1.5779722890320678</v>
      </c>
      <c r="O1798" s="1469"/>
    </row>
    <row r="1799" spans="11:15">
      <c r="K1799" s="1466">
        <v>43856</v>
      </c>
      <c r="L1799" s="1467"/>
      <c r="M1799" s="1468">
        <v>0</v>
      </c>
      <c r="N1799" s="1469">
        <v>1.5779722890320678</v>
      </c>
      <c r="O1799" s="1469"/>
    </row>
    <row r="1800" spans="11:15">
      <c r="K1800" s="1466">
        <v>43857</v>
      </c>
      <c r="L1800" s="1467" t="s">
        <v>2127</v>
      </c>
      <c r="M1800" s="1468">
        <v>1.7089E-2</v>
      </c>
      <c r="N1800" s="1469">
        <v>1.5782419487165404</v>
      </c>
      <c r="O1800" s="1469"/>
    </row>
    <row r="1801" spans="11:15">
      <c r="K1801" s="1466">
        <v>43858</v>
      </c>
      <c r="L1801" s="1467" t="s">
        <v>2127</v>
      </c>
      <c r="M1801" s="1468">
        <v>1.7089E-2</v>
      </c>
      <c r="N1801" s="1469">
        <v>1.5785116544831566</v>
      </c>
      <c r="O1801" s="1469"/>
    </row>
    <row r="1802" spans="11:15">
      <c r="K1802" s="1466">
        <v>43859</v>
      </c>
      <c r="L1802" s="1467" t="s">
        <v>2127</v>
      </c>
      <c r="M1802" s="1468">
        <v>1.7089E-2</v>
      </c>
      <c r="N1802" s="1469">
        <v>1.5787814063397911</v>
      </c>
      <c r="O1802" s="1469"/>
    </row>
    <row r="1803" spans="11:15">
      <c r="K1803" s="1466">
        <v>43860</v>
      </c>
      <c r="L1803" s="1467" t="s">
        <v>2127</v>
      </c>
      <c r="M1803" s="1468">
        <v>1.7089E-2</v>
      </c>
      <c r="N1803" s="1469">
        <v>1.5790512042943203</v>
      </c>
      <c r="O1803" s="1469"/>
    </row>
    <row r="1804" spans="11:15">
      <c r="K1804" s="1466">
        <v>43861</v>
      </c>
      <c r="L1804" s="1467" t="s">
        <v>2127</v>
      </c>
      <c r="M1804" s="1468">
        <v>1.7089E-2</v>
      </c>
      <c r="N1804" s="1469">
        <v>1.5793210483546221</v>
      </c>
      <c r="O1804" s="1469"/>
    </row>
    <row r="1805" spans="11:15">
      <c r="K1805" s="1466">
        <v>43862</v>
      </c>
      <c r="L1805" s="1467"/>
      <c r="M1805" s="1468">
        <v>0</v>
      </c>
      <c r="N1805" s="1469">
        <v>1.5793210483546221</v>
      </c>
      <c r="O1805" s="1469"/>
    </row>
    <row r="1806" spans="11:15">
      <c r="K1806" s="1466">
        <v>43863</v>
      </c>
      <c r="L1806" s="1467"/>
      <c r="M1806" s="1468">
        <v>0</v>
      </c>
      <c r="N1806" s="1469">
        <v>1.5793210483546221</v>
      </c>
      <c r="O1806" s="1469"/>
    </row>
    <row r="1807" spans="11:15">
      <c r="K1807" s="1466">
        <v>43864</v>
      </c>
      <c r="L1807" s="1467" t="s">
        <v>2127</v>
      </c>
      <c r="M1807" s="1468">
        <v>1.7089E-2</v>
      </c>
      <c r="N1807" s="1469">
        <v>1.5795909385285754</v>
      </c>
      <c r="O1807" s="1469"/>
    </row>
    <row r="1808" spans="11:15">
      <c r="K1808" s="1466">
        <v>43865</v>
      </c>
      <c r="L1808" s="1467" t="s">
        <v>2127</v>
      </c>
      <c r="M1808" s="1468">
        <v>1.7089E-2</v>
      </c>
      <c r="N1808" s="1469">
        <v>1.5798608748240603</v>
      </c>
      <c r="O1808" s="1469"/>
    </row>
    <row r="1809" spans="11:15">
      <c r="K1809" s="1466">
        <v>43866</v>
      </c>
      <c r="L1809" s="1467" t="s">
        <v>2127</v>
      </c>
      <c r="M1809" s="1468">
        <v>1.7089E-2</v>
      </c>
      <c r="N1809" s="1469">
        <v>1.580130857248959</v>
      </c>
      <c r="O1809" s="1469"/>
    </row>
    <row r="1810" spans="11:15">
      <c r="K1810" s="1466">
        <v>43867</v>
      </c>
      <c r="L1810" s="1467" t="s">
        <v>2127</v>
      </c>
      <c r="M1810" s="1468">
        <v>1.6136999999999999E-2</v>
      </c>
      <c r="N1810" s="1469">
        <v>1.5803858429653934</v>
      </c>
      <c r="O1810" s="1469"/>
    </row>
    <row r="1811" spans="11:15">
      <c r="K1811" s="1466">
        <v>43868</v>
      </c>
      <c r="L1811" s="1467" t="s">
        <v>2127</v>
      </c>
      <c r="M1811" s="1468">
        <v>1.6136999999999999E-2</v>
      </c>
      <c r="N1811" s="1469">
        <v>1.5806408698288728</v>
      </c>
      <c r="O1811" s="1469"/>
    </row>
    <row r="1812" spans="11:15">
      <c r="K1812" s="1466">
        <v>43869</v>
      </c>
      <c r="L1812" s="1467"/>
      <c r="M1812" s="1468">
        <v>0</v>
      </c>
      <c r="N1812" s="1469">
        <v>1.5806408698288728</v>
      </c>
      <c r="O1812" s="1469"/>
    </row>
    <row r="1813" spans="11:15">
      <c r="K1813" s="1466">
        <v>43870</v>
      </c>
      <c r="L1813" s="1467"/>
      <c r="M1813" s="1468">
        <v>0</v>
      </c>
      <c r="N1813" s="1469">
        <v>1.5806408698288728</v>
      </c>
      <c r="O1813" s="1469"/>
    </row>
    <row r="1814" spans="11:15">
      <c r="K1814" s="1466">
        <v>43871</v>
      </c>
      <c r="L1814" s="1467" t="s">
        <v>2127</v>
      </c>
      <c r="M1814" s="1468">
        <v>1.6136999999999999E-2</v>
      </c>
      <c r="N1814" s="1469">
        <v>1.5808959378460372</v>
      </c>
      <c r="O1814" s="1469"/>
    </row>
    <row r="1815" spans="11:15">
      <c r="K1815" s="1466">
        <v>43872</v>
      </c>
      <c r="L1815" s="1467" t="s">
        <v>2127</v>
      </c>
      <c r="M1815" s="1468">
        <v>1.6136999999999999E-2</v>
      </c>
      <c r="N1815" s="1469">
        <v>1.5811510470235275</v>
      </c>
      <c r="O1815" s="1469"/>
    </row>
    <row r="1816" spans="11:15">
      <c r="K1816" s="1466">
        <v>43873</v>
      </c>
      <c r="L1816" s="1467" t="s">
        <v>2127</v>
      </c>
      <c r="M1816" s="1468">
        <v>1.6136999999999999E-2</v>
      </c>
      <c r="N1816" s="1469">
        <v>1.5814061973679858</v>
      </c>
      <c r="O1816" s="1469"/>
    </row>
    <row r="1817" spans="11:15">
      <c r="K1817" s="1466">
        <v>43874</v>
      </c>
      <c r="L1817" s="1467" t="s">
        <v>2127</v>
      </c>
      <c r="M1817" s="1468">
        <v>1.6136999999999999E-2</v>
      </c>
      <c r="N1817" s="1469">
        <v>1.5816613888860551</v>
      </c>
      <c r="O1817" s="1469"/>
    </row>
    <row r="1818" spans="11:15">
      <c r="K1818" s="1466">
        <v>43875</v>
      </c>
      <c r="L1818" s="1467" t="s">
        <v>2127</v>
      </c>
      <c r="M1818" s="1468">
        <v>1.6136999999999999E-2</v>
      </c>
      <c r="N1818" s="1469">
        <v>1.5819166215843798</v>
      </c>
      <c r="O1818" s="1469"/>
    </row>
    <row r="1819" spans="11:15">
      <c r="K1819" s="1466">
        <v>43876</v>
      </c>
      <c r="L1819" s="1467"/>
      <c r="M1819" s="1468">
        <v>0</v>
      </c>
      <c r="N1819" s="1469">
        <v>1.5819166215843798</v>
      </c>
      <c r="O1819" s="1469"/>
    </row>
    <row r="1820" spans="11:15">
      <c r="K1820" s="1466">
        <v>43877</v>
      </c>
      <c r="L1820" s="1467"/>
      <c r="M1820" s="1468">
        <v>0</v>
      </c>
      <c r="N1820" s="1469">
        <v>1.5819166215843798</v>
      </c>
      <c r="O1820" s="1469"/>
    </row>
    <row r="1821" spans="11:15">
      <c r="K1821" s="1466">
        <v>43878</v>
      </c>
      <c r="L1821" s="1467" t="s">
        <v>2127</v>
      </c>
      <c r="M1821" s="1468">
        <v>1.6136999999999999E-2</v>
      </c>
      <c r="N1821" s="1469">
        <v>1.5821718954696049</v>
      </c>
      <c r="O1821" s="1469"/>
    </row>
    <row r="1822" spans="11:15">
      <c r="K1822" s="1466">
        <v>43879</v>
      </c>
      <c r="L1822" s="1467" t="s">
        <v>2127</v>
      </c>
      <c r="M1822" s="1468">
        <v>1.6136999999999999E-2</v>
      </c>
      <c r="N1822" s="1469">
        <v>1.582427210548377</v>
      </c>
      <c r="O1822" s="1469"/>
    </row>
    <row r="1823" spans="11:15">
      <c r="K1823" s="1466">
        <v>43880</v>
      </c>
      <c r="L1823" s="1467" t="s">
        <v>2127</v>
      </c>
      <c r="M1823" s="1468">
        <v>1.6136999999999999E-2</v>
      </c>
      <c r="N1823" s="1469">
        <v>1.5826825668273432</v>
      </c>
      <c r="O1823" s="1469"/>
    </row>
    <row r="1824" spans="11:15">
      <c r="K1824" s="1466">
        <v>43881</v>
      </c>
      <c r="L1824" s="1467" t="s">
        <v>2127</v>
      </c>
      <c r="M1824" s="1468">
        <v>1.6136999999999999E-2</v>
      </c>
      <c r="N1824" s="1469">
        <v>1.5829379643131523</v>
      </c>
      <c r="O1824" s="1469"/>
    </row>
    <row r="1825" spans="11:15">
      <c r="K1825" s="1466">
        <v>43882</v>
      </c>
      <c r="L1825" s="1467" t="s">
        <v>2127</v>
      </c>
      <c r="M1825" s="1468">
        <v>1.6136999999999999E-2</v>
      </c>
      <c r="N1825" s="1469">
        <v>1.5831934030124535</v>
      </c>
      <c r="O1825" s="1469"/>
    </row>
    <row r="1826" spans="11:15">
      <c r="K1826" s="1466">
        <v>43883</v>
      </c>
      <c r="L1826" s="1467"/>
      <c r="M1826" s="1468">
        <v>0</v>
      </c>
      <c r="N1826" s="1469">
        <v>1.5831934030124535</v>
      </c>
      <c r="O1826" s="1469"/>
    </row>
    <row r="1827" spans="11:15">
      <c r="K1827" s="1466">
        <v>43884</v>
      </c>
      <c r="L1827" s="1467"/>
      <c r="M1827" s="1468">
        <v>0</v>
      </c>
      <c r="N1827" s="1469">
        <v>1.5831934030124535</v>
      </c>
      <c r="O1827" s="1469"/>
    </row>
    <row r="1828" spans="11:15">
      <c r="K1828" s="1466">
        <v>43885</v>
      </c>
      <c r="L1828" s="1467"/>
      <c r="M1828" s="1468">
        <v>0</v>
      </c>
      <c r="N1828" s="1469">
        <v>1.5831934030124535</v>
      </c>
      <c r="O1828" s="1469"/>
    </row>
    <row r="1829" spans="11:15">
      <c r="K1829" s="1466">
        <v>43886</v>
      </c>
      <c r="L1829" s="1467"/>
      <c r="M1829" s="1468">
        <v>0</v>
      </c>
      <c r="N1829" s="1469">
        <v>1.5831934030124535</v>
      </c>
      <c r="O1829" s="1469"/>
    </row>
    <row r="1830" spans="11:15">
      <c r="K1830" s="1466">
        <v>43887</v>
      </c>
      <c r="L1830" s="1467" t="s">
        <v>2127</v>
      </c>
      <c r="M1830" s="1468">
        <v>1.6136999999999999E-2</v>
      </c>
      <c r="N1830" s="1469">
        <v>1.5834488829318978</v>
      </c>
      <c r="O1830" s="1469"/>
    </row>
    <row r="1831" spans="11:15">
      <c r="K1831" s="1466">
        <v>43888</v>
      </c>
      <c r="L1831" s="1467" t="s">
        <v>2127</v>
      </c>
      <c r="M1831" s="1468">
        <v>1.6136999999999999E-2</v>
      </c>
      <c r="N1831" s="1469">
        <v>1.5837044040781365</v>
      </c>
      <c r="O1831" s="1469"/>
    </row>
    <row r="1832" spans="11:15">
      <c r="K1832" s="1466">
        <v>43889</v>
      </c>
      <c r="L1832" s="1467" t="s">
        <v>2127</v>
      </c>
      <c r="M1832" s="1468">
        <v>1.6136999999999999E-2</v>
      </c>
      <c r="N1832" s="1469">
        <v>1.5839599664578228</v>
      </c>
      <c r="O1832" s="1469"/>
    </row>
    <row r="1833" spans="11:15">
      <c r="K1833" s="1466">
        <v>43890</v>
      </c>
      <c r="L1833" s="1467"/>
      <c r="M1833" s="1468">
        <v>0</v>
      </c>
      <c r="N1833" s="1469">
        <v>1.5839599664578228</v>
      </c>
      <c r="O1833" s="1469"/>
    </row>
    <row r="1834" spans="11:15">
      <c r="K1834" s="1466">
        <v>43891</v>
      </c>
      <c r="L1834" s="1467"/>
      <c r="M1834" s="1468">
        <v>0</v>
      </c>
      <c r="N1834" s="1469">
        <v>1.5839599664578228</v>
      </c>
      <c r="O1834" s="1469"/>
    </row>
    <row r="1835" spans="11:15">
      <c r="K1835" s="1466">
        <v>43892</v>
      </c>
      <c r="L1835" s="1467" t="s">
        <v>2127</v>
      </c>
      <c r="M1835" s="1468">
        <v>1.6136999999999999E-2</v>
      </c>
      <c r="N1835" s="1469">
        <v>1.5842155700776102</v>
      </c>
      <c r="O1835" s="1469"/>
    </row>
    <row r="1836" spans="11:15">
      <c r="K1836" s="1466">
        <v>43893</v>
      </c>
      <c r="L1836" s="1467" t="s">
        <v>2127</v>
      </c>
      <c r="M1836" s="1468">
        <v>1.6136999999999999E-2</v>
      </c>
      <c r="N1836" s="1469">
        <v>1.5844712149441535</v>
      </c>
      <c r="O1836" s="1469"/>
    </row>
    <row r="1837" spans="11:15">
      <c r="K1837" s="1466">
        <v>43894</v>
      </c>
      <c r="L1837" s="1467" t="s">
        <v>2127</v>
      </c>
      <c r="M1837" s="1468">
        <v>1.6136999999999999E-2</v>
      </c>
      <c r="N1837" s="1469">
        <v>1.5847269010641092</v>
      </c>
      <c r="O1837" s="1469"/>
    </row>
    <row r="1838" spans="11:15">
      <c r="K1838" s="1466">
        <v>43895</v>
      </c>
      <c r="L1838" s="1467" t="s">
        <v>2127</v>
      </c>
      <c r="M1838" s="1468">
        <v>1.6136999999999999E-2</v>
      </c>
      <c r="N1838" s="1469">
        <v>1.584982628444134</v>
      </c>
      <c r="O1838" s="1469"/>
    </row>
    <row r="1839" spans="11:15">
      <c r="K1839" s="1466">
        <v>43896</v>
      </c>
      <c r="L1839" s="1467" t="s">
        <v>2127</v>
      </c>
      <c r="M1839" s="1468">
        <v>1.6136999999999999E-2</v>
      </c>
      <c r="N1839" s="1469">
        <v>1.5852383970908861</v>
      </c>
      <c r="O1839" s="1469"/>
    </row>
    <row r="1840" spans="11:15">
      <c r="K1840" s="1466">
        <v>43897</v>
      </c>
      <c r="L1840" s="1467"/>
      <c r="M1840" s="1468">
        <v>0</v>
      </c>
      <c r="N1840" s="1469">
        <v>1.5852383970908861</v>
      </c>
      <c r="O1840" s="1469"/>
    </row>
    <row r="1841" spans="11:15">
      <c r="K1841" s="1466">
        <v>43898</v>
      </c>
      <c r="L1841" s="1467"/>
      <c r="M1841" s="1468">
        <v>0</v>
      </c>
      <c r="N1841" s="1469">
        <v>1.5852383970908861</v>
      </c>
      <c r="O1841" s="1469"/>
    </row>
    <row r="1842" spans="11:15">
      <c r="K1842" s="1466">
        <v>43899</v>
      </c>
      <c r="L1842" s="1467" t="s">
        <v>2127</v>
      </c>
      <c r="M1842" s="1468">
        <v>1.6136999999999999E-2</v>
      </c>
      <c r="N1842" s="1469">
        <v>1.5854942070110247</v>
      </c>
      <c r="O1842" s="1469"/>
    </row>
    <row r="1843" spans="11:15">
      <c r="K1843" s="1466">
        <v>43900</v>
      </c>
      <c r="L1843" s="1467" t="s">
        <v>2127</v>
      </c>
      <c r="M1843" s="1468">
        <v>1.6136999999999999E-2</v>
      </c>
      <c r="N1843" s="1469">
        <v>1.5857500582112101</v>
      </c>
      <c r="O1843" s="1469"/>
    </row>
    <row r="1844" spans="11:15">
      <c r="K1844" s="1466">
        <v>43901</v>
      </c>
      <c r="L1844" s="1467" t="s">
        <v>2127</v>
      </c>
      <c r="M1844" s="1468">
        <v>1.6136999999999999E-2</v>
      </c>
      <c r="N1844" s="1469">
        <v>1.5860059506981037</v>
      </c>
      <c r="O1844" s="1469"/>
    </row>
    <row r="1845" spans="11:15">
      <c r="K1845" s="1466">
        <v>43902</v>
      </c>
      <c r="L1845" s="1467" t="s">
        <v>2127</v>
      </c>
      <c r="M1845" s="1468">
        <v>1.6136999999999999E-2</v>
      </c>
      <c r="N1845" s="1469">
        <v>1.586261884478368</v>
      </c>
      <c r="O1845" s="1469"/>
    </row>
    <row r="1846" spans="11:15">
      <c r="K1846" s="1466">
        <v>43903</v>
      </c>
      <c r="L1846" s="1467" t="s">
        <v>2127</v>
      </c>
      <c r="M1846" s="1468">
        <v>1.6136999999999999E-2</v>
      </c>
      <c r="N1846" s="1469">
        <v>1.5865178595586664</v>
      </c>
      <c r="O1846" s="1469"/>
    </row>
    <row r="1847" spans="11:15">
      <c r="K1847" s="1466">
        <v>43904</v>
      </c>
      <c r="L1847" s="1467"/>
      <c r="M1847" s="1468">
        <v>0</v>
      </c>
      <c r="N1847" s="1469">
        <v>1.5865178595586664</v>
      </c>
      <c r="O1847" s="1469"/>
    </row>
    <row r="1848" spans="11:15">
      <c r="K1848" s="1466">
        <v>43905</v>
      </c>
      <c r="L1848" s="1467"/>
      <c r="M1848" s="1468">
        <v>0</v>
      </c>
      <c r="N1848" s="1469">
        <v>1.5865178595586664</v>
      </c>
      <c r="O1848" s="1469"/>
    </row>
    <row r="1849" spans="11:15">
      <c r="K1849" s="1466">
        <v>43906</v>
      </c>
      <c r="L1849" s="1467" t="s">
        <v>2127</v>
      </c>
      <c r="M1849" s="1468">
        <v>1.6136999999999999E-2</v>
      </c>
      <c r="N1849" s="1469">
        <v>1.5867738759456635</v>
      </c>
      <c r="O1849" s="1469"/>
    </row>
    <row r="1850" spans="11:15">
      <c r="K1850" s="1466">
        <v>43907</v>
      </c>
      <c r="L1850" s="1467" t="s">
        <v>2127</v>
      </c>
      <c r="M1850" s="1468">
        <v>1.6136999999999999E-2</v>
      </c>
      <c r="N1850" s="1469">
        <v>1.587029933646025</v>
      </c>
      <c r="O1850" s="1469"/>
    </row>
    <row r="1851" spans="11:15">
      <c r="K1851" s="1466">
        <v>43908</v>
      </c>
      <c r="L1851" s="1467" t="s">
        <v>2127</v>
      </c>
      <c r="M1851" s="1468">
        <v>1.6136999999999999E-2</v>
      </c>
      <c r="N1851" s="1469">
        <v>1.5872860326664175</v>
      </c>
      <c r="O1851" s="1469"/>
    </row>
    <row r="1852" spans="11:15">
      <c r="K1852" s="1466">
        <v>43909</v>
      </c>
      <c r="L1852" s="1467" t="s">
        <v>2127</v>
      </c>
      <c r="M1852" s="1468">
        <v>1.4227E-2</v>
      </c>
      <c r="N1852" s="1469">
        <v>1.587511855850285</v>
      </c>
      <c r="O1852" s="1469"/>
    </row>
    <row r="1853" spans="11:15">
      <c r="K1853" s="1466">
        <v>43910</v>
      </c>
      <c r="L1853" s="1467" t="s">
        <v>2127</v>
      </c>
      <c r="M1853" s="1468">
        <v>1.4227E-2</v>
      </c>
      <c r="N1853" s="1469">
        <v>1.5877377111620168</v>
      </c>
      <c r="O1853" s="1469"/>
    </row>
    <row r="1854" spans="11:15">
      <c r="K1854" s="1466">
        <v>43911</v>
      </c>
      <c r="L1854" s="1467"/>
      <c r="M1854" s="1468">
        <v>0</v>
      </c>
      <c r="N1854" s="1469">
        <v>1.5877377111620168</v>
      </c>
      <c r="O1854" s="1469"/>
    </row>
    <row r="1855" spans="11:15">
      <c r="K1855" s="1466">
        <v>43912</v>
      </c>
      <c r="L1855" s="1467"/>
      <c r="M1855" s="1468">
        <v>0</v>
      </c>
      <c r="N1855" s="1469">
        <v>1.5877377111620168</v>
      </c>
      <c r="O1855" s="1469"/>
    </row>
    <row r="1856" spans="11:15">
      <c r="K1856" s="1466">
        <v>43913</v>
      </c>
      <c r="L1856" s="1467" t="s">
        <v>2127</v>
      </c>
      <c r="M1856" s="1468">
        <v>1.4227E-2</v>
      </c>
      <c r="N1856" s="1469">
        <v>1.5879635986061837</v>
      </c>
      <c r="O1856" s="1469"/>
    </row>
    <row r="1857" spans="11:15">
      <c r="K1857" s="1466">
        <v>43914</v>
      </c>
      <c r="L1857" s="1467" t="s">
        <v>2127</v>
      </c>
      <c r="M1857" s="1468">
        <v>1.4227E-2</v>
      </c>
      <c r="N1857" s="1469">
        <v>1.5881895181873575</v>
      </c>
      <c r="O1857" s="1469"/>
    </row>
    <row r="1858" spans="11:15">
      <c r="K1858" s="1466">
        <v>43915</v>
      </c>
      <c r="L1858" s="1467" t="s">
        <v>2127</v>
      </c>
      <c r="M1858" s="1468">
        <v>1.4227E-2</v>
      </c>
      <c r="N1858" s="1469">
        <v>1.5884154699101101</v>
      </c>
      <c r="O1858" s="1469"/>
    </row>
    <row r="1859" spans="11:15">
      <c r="K1859" s="1466">
        <v>43916</v>
      </c>
      <c r="L1859" s="1467" t="s">
        <v>2127</v>
      </c>
      <c r="M1859" s="1468">
        <v>1.4227E-2</v>
      </c>
      <c r="N1859" s="1469">
        <v>1.5886414537790141</v>
      </c>
      <c r="O1859" s="1469"/>
    </row>
    <row r="1860" spans="11:15">
      <c r="K1860" s="1466">
        <v>43917</v>
      </c>
      <c r="L1860" s="1467" t="s">
        <v>2127</v>
      </c>
      <c r="M1860" s="1468">
        <v>1.4227E-2</v>
      </c>
      <c r="N1860" s="1469">
        <v>1.5888674697986434</v>
      </c>
      <c r="O1860" s="1469"/>
    </row>
    <row r="1861" spans="11:15">
      <c r="K1861" s="1466">
        <v>43918</v>
      </c>
      <c r="L1861" s="1467"/>
      <c r="M1861" s="1468">
        <v>0</v>
      </c>
      <c r="N1861" s="1469">
        <v>1.5888674697986434</v>
      </c>
      <c r="O1861" s="1469"/>
    </row>
    <row r="1862" spans="11:15">
      <c r="K1862" s="1466">
        <v>43919</v>
      </c>
      <c r="L1862" s="1467"/>
      <c r="M1862" s="1468">
        <v>0</v>
      </c>
      <c r="N1862" s="1469">
        <v>1.5888674697986434</v>
      </c>
      <c r="O1862" s="1469"/>
    </row>
    <row r="1863" spans="11:15">
      <c r="K1863" s="1466">
        <v>43920</v>
      </c>
      <c r="L1863" s="1467" t="s">
        <v>2127</v>
      </c>
      <c r="M1863" s="1468">
        <v>1.4227E-2</v>
      </c>
      <c r="N1863" s="1469">
        <v>1.5890935179735717</v>
      </c>
      <c r="O1863" s="1469"/>
    </row>
    <row r="1864" spans="11:15">
      <c r="K1864" s="1466">
        <v>43921</v>
      </c>
      <c r="L1864" s="1467" t="s">
        <v>2127</v>
      </c>
      <c r="M1864" s="1468">
        <v>1.4227E-2</v>
      </c>
      <c r="N1864" s="1469">
        <v>1.5893195983083739</v>
      </c>
      <c r="O1864" s="1469"/>
    </row>
    <row r="1865" spans="11:15">
      <c r="K1865" s="1466">
        <v>43922</v>
      </c>
      <c r="L1865" s="1467" t="s">
        <v>2127</v>
      </c>
      <c r="M1865" s="1468">
        <v>1.4227E-2</v>
      </c>
      <c r="N1865" s="1469">
        <v>1.5895457108076252</v>
      </c>
      <c r="O1865" s="1469"/>
    </row>
    <row r="1866" spans="11:15">
      <c r="K1866" s="1466">
        <v>43923</v>
      </c>
      <c r="L1866" s="1467" t="s">
        <v>2127</v>
      </c>
      <c r="M1866" s="1468">
        <v>1.4227E-2</v>
      </c>
      <c r="N1866" s="1469">
        <v>1.5897718554759017</v>
      </c>
      <c r="O1866" s="1469"/>
    </row>
    <row r="1867" spans="11:15">
      <c r="K1867" s="1466">
        <v>43924</v>
      </c>
      <c r="L1867" s="1467" t="s">
        <v>2127</v>
      </c>
      <c r="M1867" s="1468">
        <v>1.4227E-2</v>
      </c>
      <c r="N1867" s="1469">
        <v>1.5899980323177803</v>
      </c>
      <c r="O1867" s="1469"/>
    </row>
    <row r="1868" spans="11:15">
      <c r="K1868" s="1466">
        <v>43925</v>
      </c>
      <c r="L1868" s="1467"/>
      <c r="M1868" s="1468">
        <v>0</v>
      </c>
      <c r="N1868" s="1469">
        <v>1.5899980323177803</v>
      </c>
      <c r="O1868" s="1469"/>
    </row>
    <row r="1869" spans="11:15">
      <c r="K1869" s="1466">
        <v>43926</v>
      </c>
      <c r="L1869" s="1467"/>
      <c r="M1869" s="1468">
        <v>0</v>
      </c>
      <c r="N1869" s="1469">
        <v>1.5899980323177803</v>
      </c>
      <c r="O1869" s="1469"/>
    </row>
    <row r="1870" spans="11:15">
      <c r="K1870" s="1466">
        <v>43927</v>
      </c>
      <c r="L1870" s="1467" t="s">
        <v>2127</v>
      </c>
      <c r="M1870" s="1468">
        <v>1.4227E-2</v>
      </c>
      <c r="N1870" s="1469">
        <v>1.590224241337838</v>
      </c>
      <c r="O1870" s="1469"/>
    </row>
    <row r="1871" spans="11:15">
      <c r="K1871" s="1466">
        <v>43928</v>
      </c>
      <c r="L1871" s="1467" t="s">
        <v>2127</v>
      </c>
      <c r="M1871" s="1468">
        <v>1.4227E-2</v>
      </c>
      <c r="N1871" s="1469">
        <v>1.5904504825406531</v>
      </c>
      <c r="O1871" s="1469"/>
    </row>
    <row r="1872" spans="11:15">
      <c r="K1872" s="1466">
        <v>43929</v>
      </c>
      <c r="L1872" s="1467" t="s">
        <v>2127</v>
      </c>
      <c r="M1872" s="1468">
        <v>1.4227E-2</v>
      </c>
      <c r="N1872" s="1469">
        <v>1.5906767559308042</v>
      </c>
      <c r="O1872" s="1469"/>
    </row>
    <row r="1873" spans="11:15">
      <c r="K1873" s="1466">
        <v>43930</v>
      </c>
      <c r="L1873" s="1467" t="s">
        <v>2127</v>
      </c>
      <c r="M1873" s="1468">
        <v>1.4227E-2</v>
      </c>
      <c r="N1873" s="1469">
        <v>1.5909030615128705</v>
      </c>
      <c r="O1873" s="1469"/>
    </row>
    <row r="1874" spans="11:15">
      <c r="K1874" s="1466">
        <v>43931</v>
      </c>
      <c r="L1874" s="1467"/>
      <c r="M1874" s="1468">
        <v>0</v>
      </c>
      <c r="N1874" s="1469">
        <v>1.5909030615128705</v>
      </c>
      <c r="O1874" s="1469"/>
    </row>
    <row r="1875" spans="11:15">
      <c r="K1875" s="1466">
        <v>43932</v>
      </c>
      <c r="L1875" s="1467"/>
      <c r="M1875" s="1468">
        <v>0</v>
      </c>
      <c r="N1875" s="1469">
        <v>1.5909030615128705</v>
      </c>
      <c r="O1875" s="1469"/>
    </row>
    <row r="1876" spans="11:15">
      <c r="K1876" s="1466">
        <v>43933</v>
      </c>
      <c r="L1876" s="1467"/>
      <c r="M1876" s="1468">
        <v>0</v>
      </c>
      <c r="N1876" s="1469">
        <v>1.5909030615128705</v>
      </c>
      <c r="O1876" s="1469"/>
    </row>
    <row r="1877" spans="11:15">
      <c r="K1877" s="1466">
        <v>43934</v>
      </c>
      <c r="L1877" s="1467" t="s">
        <v>2127</v>
      </c>
      <c r="M1877" s="1468">
        <v>1.4227E-2</v>
      </c>
      <c r="N1877" s="1469">
        <v>1.5911293992914319</v>
      </c>
      <c r="O1877" s="1469"/>
    </row>
    <row r="1878" spans="11:15">
      <c r="K1878" s="1466">
        <v>43935</v>
      </c>
      <c r="L1878" s="1467" t="s">
        <v>2127</v>
      </c>
      <c r="M1878" s="1468">
        <v>1.4227E-2</v>
      </c>
      <c r="N1878" s="1469">
        <v>1.5913557692710691</v>
      </c>
      <c r="O1878" s="1469"/>
    </row>
    <row r="1879" spans="11:15">
      <c r="K1879" s="1466">
        <v>43936</v>
      </c>
      <c r="L1879" s="1467" t="s">
        <v>2127</v>
      </c>
      <c r="M1879" s="1468">
        <v>1.4227E-2</v>
      </c>
      <c r="N1879" s="1469">
        <v>1.5915821714563634</v>
      </c>
      <c r="O1879" s="1469"/>
    </row>
    <row r="1880" spans="11:15">
      <c r="K1880" s="1466">
        <v>43937</v>
      </c>
      <c r="L1880" s="1467" t="s">
        <v>2127</v>
      </c>
      <c r="M1880" s="1468">
        <v>1.4227E-2</v>
      </c>
      <c r="N1880" s="1469">
        <v>1.5918086058518965</v>
      </c>
      <c r="O1880" s="1469"/>
    </row>
    <row r="1881" spans="11:15">
      <c r="K1881" s="1466">
        <v>43938</v>
      </c>
      <c r="L1881" s="1467" t="s">
        <v>2127</v>
      </c>
      <c r="M1881" s="1468">
        <v>1.4227E-2</v>
      </c>
      <c r="N1881" s="1469">
        <v>1.5920350724622512</v>
      </c>
      <c r="O1881" s="1469"/>
    </row>
    <row r="1882" spans="11:15">
      <c r="K1882" s="1466">
        <v>43939</v>
      </c>
      <c r="L1882" s="1467"/>
      <c r="M1882" s="1468">
        <v>0</v>
      </c>
      <c r="N1882" s="1469">
        <v>1.5920350724622512</v>
      </c>
      <c r="O1882" s="1469"/>
    </row>
    <row r="1883" spans="11:15">
      <c r="K1883" s="1466">
        <v>43940</v>
      </c>
      <c r="L1883" s="1467"/>
      <c r="M1883" s="1468">
        <v>0</v>
      </c>
      <c r="N1883" s="1469">
        <v>1.5920350724622512</v>
      </c>
      <c r="O1883" s="1469"/>
    </row>
    <row r="1884" spans="11:15">
      <c r="K1884" s="1466">
        <v>43941</v>
      </c>
      <c r="L1884" s="1467" t="s">
        <v>2127</v>
      </c>
      <c r="M1884" s="1468">
        <v>1.4227E-2</v>
      </c>
      <c r="N1884" s="1469">
        <v>1.5922615712920103</v>
      </c>
      <c r="O1884" s="1469"/>
    </row>
    <row r="1885" spans="11:15">
      <c r="K1885" s="1466">
        <v>43942</v>
      </c>
      <c r="L1885" s="1467"/>
      <c r="M1885" s="1468">
        <v>0</v>
      </c>
      <c r="N1885" s="1469">
        <v>1.5922615712920103</v>
      </c>
      <c r="O1885" s="1469"/>
    </row>
    <row r="1886" spans="11:15">
      <c r="K1886" s="1466">
        <v>43943</v>
      </c>
      <c r="L1886" s="1467" t="s">
        <v>2127</v>
      </c>
      <c r="M1886" s="1468">
        <v>1.4227E-2</v>
      </c>
      <c r="N1886" s="1469">
        <v>1.592488102345758</v>
      </c>
      <c r="O1886" s="1469"/>
    </row>
    <row r="1887" spans="11:15">
      <c r="K1887" s="1466">
        <v>43944</v>
      </c>
      <c r="L1887" s="1467" t="s">
        <v>2127</v>
      </c>
      <c r="M1887" s="1468">
        <v>1.4227E-2</v>
      </c>
      <c r="N1887" s="1469">
        <v>1.5927146656280786</v>
      </c>
      <c r="O1887" s="1469"/>
    </row>
    <row r="1888" spans="11:15">
      <c r="K1888" s="1466">
        <v>43945</v>
      </c>
      <c r="L1888" s="1467" t="s">
        <v>2127</v>
      </c>
      <c r="M1888" s="1468">
        <v>1.4227E-2</v>
      </c>
      <c r="N1888" s="1469">
        <v>1.5929412611435576</v>
      </c>
      <c r="O1888" s="1469"/>
    </row>
    <row r="1889" spans="11:15">
      <c r="K1889" s="1466">
        <v>43946</v>
      </c>
      <c r="L1889" s="1467"/>
      <c r="M1889" s="1468">
        <v>0</v>
      </c>
      <c r="N1889" s="1469">
        <v>1.5929412611435576</v>
      </c>
      <c r="O1889" s="1469"/>
    </row>
    <row r="1890" spans="11:15">
      <c r="K1890" s="1466">
        <v>43947</v>
      </c>
      <c r="L1890" s="1467"/>
      <c r="M1890" s="1468">
        <v>0</v>
      </c>
      <c r="N1890" s="1469">
        <v>1.5929412611435576</v>
      </c>
      <c r="O1890" s="1469"/>
    </row>
    <row r="1891" spans="11:15">
      <c r="K1891" s="1466">
        <v>43948</v>
      </c>
      <c r="L1891" s="1467" t="s">
        <v>2127</v>
      </c>
      <c r="M1891" s="1468">
        <v>1.4227E-2</v>
      </c>
      <c r="N1891" s="1469">
        <v>1.5931678888967804</v>
      </c>
      <c r="O1891" s="1469"/>
    </row>
    <row r="1892" spans="11:15">
      <c r="K1892" s="1466">
        <v>43949</v>
      </c>
      <c r="L1892" s="1467" t="s">
        <v>2127</v>
      </c>
      <c r="M1892" s="1468">
        <v>1.4227E-2</v>
      </c>
      <c r="N1892" s="1469">
        <v>1.5933945488923338</v>
      </c>
      <c r="O1892" s="1469"/>
    </row>
    <row r="1893" spans="11:15">
      <c r="K1893" s="1466">
        <v>43950</v>
      </c>
      <c r="L1893" s="1467" t="s">
        <v>2127</v>
      </c>
      <c r="M1893" s="1468">
        <v>1.4227E-2</v>
      </c>
      <c r="N1893" s="1469">
        <v>1.5936212411348047</v>
      </c>
      <c r="O1893" s="1469"/>
    </row>
    <row r="1894" spans="11:15">
      <c r="K1894" s="1466">
        <v>43951</v>
      </c>
      <c r="L1894" s="1467" t="s">
        <v>2127</v>
      </c>
      <c r="M1894" s="1468">
        <v>1.4227E-2</v>
      </c>
      <c r="N1894" s="1469">
        <v>1.5938479656287809</v>
      </c>
      <c r="O1894" s="1469"/>
    </row>
    <row r="1895" spans="11:15">
      <c r="K1895" s="1466">
        <v>43952</v>
      </c>
      <c r="L1895" s="1467"/>
      <c r="M1895" s="1468">
        <v>0</v>
      </c>
      <c r="N1895" s="1469">
        <v>1.5938479656287809</v>
      </c>
      <c r="O1895" s="1469"/>
    </row>
    <row r="1896" spans="11:15">
      <c r="K1896" s="1466">
        <v>43953</v>
      </c>
      <c r="L1896" s="1467"/>
      <c r="M1896" s="1468">
        <v>0</v>
      </c>
      <c r="N1896" s="1469">
        <v>1.5938479656287809</v>
      </c>
      <c r="O1896" s="1469"/>
    </row>
    <row r="1897" spans="11:15">
      <c r="K1897" s="1466">
        <v>43954</v>
      </c>
      <c r="L1897" s="1467"/>
      <c r="M1897" s="1468">
        <v>0</v>
      </c>
      <c r="N1897" s="1469">
        <v>1.5938479656287809</v>
      </c>
      <c r="O1897" s="1469"/>
    </row>
    <row r="1898" spans="11:15">
      <c r="K1898" s="1466">
        <v>43955</v>
      </c>
      <c r="L1898" s="1467" t="s">
        <v>2127</v>
      </c>
      <c r="M1898" s="1468">
        <v>1.4227E-2</v>
      </c>
      <c r="N1898" s="1469">
        <v>1.594074722378851</v>
      </c>
      <c r="O1898" s="1469"/>
    </row>
    <row r="1899" spans="11:15">
      <c r="K1899" s="1466">
        <v>43956</v>
      </c>
      <c r="L1899" s="1467" t="s">
        <v>2127</v>
      </c>
      <c r="M1899" s="1468">
        <v>1.4227E-2</v>
      </c>
      <c r="N1899" s="1469">
        <v>1.5943015113896037</v>
      </c>
      <c r="O1899" s="1469"/>
    </row>
    <row r="1900" spans="11:15">
      <c r="K1900" s="1466">
        <v>43957</v>
      </c>
      <c r="L1900" s="1467" t="s">
        <v>2127</v>
      </c>
      <c r="M1900" s="1468">
        <v>1.4227E-2</v>
      </c>
      <c r="N1900" s="1469">
        <v>1.5945283326656292</v>
      </c>
      <c r="O1900" s="1469"/>
    </row>
    <row r="1901" spans="11:15">
      <c r="K1901" s="1466">
        <v>43958</v>
      </c>
      <c r="L1901" s="1467" t="s">
        <v>2127</v>
      </c>
      <c r="M1901" s="1468">
        <v>1.1344999999999999E-2</v>
      </c>
      <c r="N1901" s="1469">
        <v>1.59470923190497</v>
      </c>
      <c r="O1901" s="1469"/>
    </row>
    <row r="1902" spans="11:15">
      <c r="K1902" s="1466">
        <v>43959</v>
      </c>
      <c r="L1902" s="1467" t="s">
        <v>2127</v>
      </c>
      <c r="M1902" s="1468">
        <v>1.1344999999999999E-2</v>
      </c>
      <c r="N1902" s="1469">
        <v>1.5948901516673295</v>
      </c>
      <c r="O1902" s="1469"/>
    </row>
    <row r="1903" spans="11:15">
      <c r="K1903" s="1466">
        <v>43960</v>
      </c>
      <c r="L1903" s="1467"/>
      <c r="M1903" s="1468">
        <v>0</v>
      </c>
      <c r="N1903" s="1469">
        <v>1.5948901516673295</v>
      </c>
      <c r="O1903" s="1469"/>
    </row>
    <row r="1904" spans="11:15">
      <c r="K1904" s="1466">
        <v>43961</v>
      </c>
      <c r="L1904" s="1467"/>
      <c r="M1904" s="1468">
        <v>0</v>
      </c>
      <c r="N1904" s="1469">
        <v>1.5948901516673295</v>
      </c>
      <c r="O1904" s="1469"/>
    </row>
    <row r="1905" spans="11:15">
      <c r="K1905" s="1466">
        <v>43962</v>
      </c>
      <c r="L1905" s="1467" t="s">
        <v>2127</v>
      </c>
      <c r="M1905" s="1468">
        <v>1.1344999999999999E-2</v>
      </c>
      <c r="N1905" s="1469">
        <v>1.5950710919550362</v>
      </c>
      <c r="O1905" s="1469"/>
    </row>
    <row r="1906" spans="11:15">
      <c r="K1906" s="1466">
        <v>43963</v>
      </c>
      <c r="L1906" s="1467" t="s">
        <v>2127</v>
      </c>
      <c r="M1906" s="1468">
        <v>1.1344999999999999E-2</v>
      </c>
      <c r="N1906" s="1469">
        <v>1.5952520527704184</v>
      </c>
      <c r="O1906" s="1469"/>
    </row>
    <row r="1907" spans="11:15">
      <c r="K1907" s="1466">
        <v>43964</v>
      </c>
      <c r="L1907" s="1467" t="s">
        <v>2127</v>
      </c>
      <c r="M1907" s="1468">
        <v>1.1344999999999999E-2</v>
      </c>
      <c r="N1907" s="1469">
        <v>1.5954330341158052</v>
      </c>
      <c r="O1907" s="1469"/>
    </row>
    <row r="1908" spans="11:15">
      <c r="K1908" s="1466">
        <v>43965</v>
      </c>
      <c r="L1908" s="1467" t="s">
        <v>2127</v>
      </c>
      <c r="M1908" s="1468">
        <v>1.1344999999999999E-2</v>
      </c>
      <c r="N1908" s="1469">
        <v>1.5956140359935256</v>
      </c>
      <c r="O1908" s="1469"/>
    </row>
    <row r="1909" spans="11:15">
      <c r="K1909" s="1466">
        <v>43966</v>
      </c>
      <c r="L1909" s="1467" t="s">
        <v>2127</v>
      </c>
      <c r="M1909" s="1468">
        <v>1.1344999999999999E-2</v>
      </c>
      <c r="N1909" s="1469">
        <v>1.5957950584059091</v>
      </c>
      <c r="O1909" s="1469"/>
    </row>
    <row r="1910" spans="11:15">
      <c r="K1910" s="1466">
        <v>43967</v>
      </c>
      <c r="L1910" s="1467"/>
      <c r="M1910" s="1468">
        <v>0</v>
      </c>
      <c r="N1910" s="1469">
        <v>1.5957950584059091</v>
      </c>
      <c r="O1910" s="1469"/>
    </row>
    <row r="1911" spans="11:15">
      <c r="K1911" s="1466">
        <v>43968</v>
      </c>
      <c r="L1911" s="1467"/>
      <c r="M1911" s="1468">
        <v>0</v>
      </c>
      <c r="N1911" s="1469">
        <v>1.5957950584059091</v>
      </c>
      <c r="O1911" s="1469"/>
    </row>
    <row r="1912" spans="11:15">
      <c r="K1912" s="1466">
        <v>43969</v>
      </c>
      <c r="L1912" s="1467" t="s">
        <v>2127</v>
      </c>
      <c r="M1912" s="1468">
        <v>1.1344999999999999E-2</v>
      </c>
      <c r="N1912" s="1469">
        <v>1.5959761013552851</v>
      </c>
      <c r="O1912" s="1469"/>
    </row>
    <row r="1913" spans="11:15">
      <c r="K1913" s="1466">
        <v>43970</v>
      </c>
      <c r="L1913" s="1467" t="s">
        <v>2127</v>
      </c>
      <c r="M1913" s="1468">
        <v>1.1344999999999999E-2</v>
      </c>
      <c r="N1913" s="1469">
        <v>1.5961571648439838</v>
      </c>
      <c r="O1913" s="1469"/>
    </row>
    <row r="1914" spans="11:15">
      <c r="K1914" s="1466">
        <v>43971</v>
      </c>
      <c r="L1914" s="1467" t="s">
        <v>2127</v>
      </c>
      <c r="M1914" s="1468">
        <v>1.1344999999999999E-2</v>
      </c>
      <c r="N1914" s="1469">
        <v>1.5963382488743354</v>
      </c>
      <c r="O1914" s="1469"/>
    </row>
    <row r="1915" spans="11:15">
      <c r="K1915" s="1466">
        <v>43972</v>
      </c>
      <c r="L1915" s="1467" t="s">
        <v>2127</v>
      </c>
      <c r="M1915" s="1468">
        <v>1.1344999999999999E-2</v>
      </c>
      <c r="N1915" s="1469">
        <v>1.5965193534486701</v>
      </c>
      <c r="O1915" s="1469"/>
    </row>
    <row r="1916" spans="11:15">
      <c r="K1916" s="1466">
        <v>43973</v>
      </c>
      <c r="L1916" s="1467" t="s">
        <v>2127</v>
      </c>
      <c r="M1916" s="1468">
        <v>1.1344999999999999E-2</v>
      </c>
      <c r="N1916" s="1469">
        <v>1.5967004785693188</v>
      </c>
      <c r="O1916" s="1469"/>
    </row>
    <row r="1917" spans="11:15">
      <c r="K1917" s="1466">
        <v>43974</v>
      </c>
      <c r="L1917" s="1467"/>
      <c r="M1917" s="1468">
        <v>0</v>
      </c>
      <c r="N1917" s="1469">
        <v>1.5967004785693188</v>
      </c>
      <c r="O1917" s="1469"/>
    </row>
    <row r="1918" spans="11:15">
      <c r="K1918" s="1466">
        <v>43975</v>
      </c>
      <c r="L1918" s="1467"/>
      <c r="M1918" s="1468">
        <v>0</v>
      </c>
      <c r="N1918" s="1469">
        <v>1.5967004785693188</v>
      </c>
      <c r="O1918" s="1469"/>
    </row>
    <row r="1919" spans="11:15">
      <c r="K1919" s="1466">
        <v>43976</v>
      </c>
      <c r="L1919" s="1467" t="s">
        <v>2127</v>
      </c>
      <c r="M1919" s="1468">
        <v>1.1344999999999999E-2</v>
      </c>
      <c r="N1919" s="1469">
        <v>1.5968816242386126</v>
      </c>
      <c r="O1919" s="1469"/>
    </row>
    <row r="1920" spans="11:15">
      <c r="K1920" s="1466">
        <v>43977</v>
      </c>
      <c r="L1920" s="1467" t="s">
        <v>2127</v>
      </c>
      <c r="M1920" s="1468">
        <v>1.1344999999999999E-2</v>
      </c>
      <c r="N1920" s="1469">
        <v>1.5970627904588823</v>
      </c>
      <c r="O1920" s="1469"/>
    </row>
    <row r="1921" spans="11:15">
      <c r="K1921" s="1466">
        <v>43978</v>
      </c>
      <c r="L1921" s="1467" t="s">
        <v>2127</v>
      </c>
      <c r="M1921" s="1468">
        <v>1.1344999999999999E-2</v>
      </c>
      <c r="N1921" s="1469">
        <v>1.5972439772324598</v>
      </c>
      <c r="O1921" s="1469"/>
    </row>
    <row r="1922" spans="11:15">
      <c r="K1922" s="1466">
        <v>43979</v>
      </c>
      <c r="L1922" s="1467" t="s">
        <v>2127</v>
      </c>
      <c r="M1922" s="1468">
        <v>1.1344999999999999E-2</v>
      </c>
      <c r="N1922" s="1469">
        <v>1.5974251845616767</v>
      </c>
      <c r="O1922" s="1469"/>
    </row>
    <row r="1923" spans="11:15">
      <c r="K1923" s="1466">
        <v>43980</v>
      </c>
      <c r="L1923" s="1467" t="s">
        <v>2127</v>
      </c>
      <c r="M1923" s="1468">
        <v>1.1344999999999999E-2</v>
      </c>
      <c r="N1923" s="1469">
        <v>1.5976064124488651</v>
      </c>
      <c r="O1923" s="1469"/>
    </row>
    <row r="1924" spans="11:15">
      <c r="K1924" s="1466">
        <v>43981</v>
      </c>
      <c r="L1924" s="1467"/>
      <c r="M1924" s="1468">
        <v>0</v>
      </c>
      <c r="N1924" s="1469">
        <v>1.5976064124488651</v>
      </c>
      <c r="O1924" s="1469"/>
    </row>
    <row r="1925" spans="11:15">
      <c r="K1925" s="1466">
        <v>43982</v>
      </c>
      <c r="L1925" s="1467"/>
      <c r="M1925" s="1468">
        <v>0</v>
      </c>
      <c r="N1925" s="1469">
        <v>1.5976064124488651</v>
      </c>
      <c r="O1925" s="1469"/>
    </row>
    <row r="1926" spans="11:15">
      <c r="K1926" s="1466">
        <v>43983</v>
      </c>
      <c r="L1926" s="1467" t="s">
        <v>2127</v>
      </c>
      <c r="M1926" s="1468">
        <v>1.1344999999999999E-2</v>
      </c>
      <c r="N1926" s="1469">
        <v>1.5977876608963575</v>
      </c>
      <c r="O1926" s="1469"/>
    </row>
    <row r="1927" spans="11:15">
      <c r="K1927" s="1466">
        <v>43984</v>
      </c>
      <c r="L1927" s="1467" t="s">
        <v>2127</v>
      </c>
      <c r="M1927" s="1468">
        <v>1.1344999999999999E-2</v>
      </c>
      <c r="N1927" s="1469">
        <v>1.5979689299064861</v>
      </c>
      <c r="O1927" s="1469"/>
    </row>
    <row r="1928" spans="11:15">
      <c r="K1928" s="1466">
        <v>43985</v>
      </c>
      <c r="L1928" s="1467" t="s">
        <v>2127</v>
      </c>
      <c r="M1928" s="1468">
        <v>1.1344999999999999E-2</v>
      </c>
      <c r="N1928" s="1469">
        <v>1.598150219481584</v>
      </c>
      <c r="O1928" s="1469"/>
    </row>
    <row r="1929" spans="11:15">
      <c r="K1929" s="1466">
        <v>43986</v>
      </c>
      <c r="L1929" s="1467" t="s">
        <v>2127</v>
      </c>
      <c r="M1929" s="1468">
        <v>1.1344999999999999E-2</v>
      </c>
      <c r="N1929" s="1469">
        <v>1.5983315296239842</v>
      </c>
      <c r="O1929" s="1469"/>
    </row>
    <row r="1930" spans="11:15">
      <c r="K1930" s="1466">
        <v>43987</v>
      </c>
      <c r="L1930" s="1467" t="s">
        <v>2127</v>
      </c>
      <c r="M1930" s="1468">
        <v>1.1344999999999999E-2</v>
      </c>
      <c r="N1930" s="1469">
        <v>1.5985128603360199</v>
      </c>
      <c r="O1930" s="1469"/>
    </row>
    <row r="1931" spans="11:15">
      <c r="K1931" s="1466">
        <v>43988</v>
      </c>
      <c r="L1931" s="1467"/>
      <c r="M1931" s="1468">
        <v>0</v>
      </c>
      <c r="N1931" s="1469">
        <v>1.5985128603360199</v>
      </c>
      <c r="O1931" s="1469"/>
    </row>
    <row r="1932" spans="11:15">
      <c r="K1932" s="1466">
        <v>43989</v>
      </c>
      <c r="L1932" s="1467"/>
      <c r="M1932" s="1468">
        <v>0</v>
      </c>
      <c r="N1932" s="1469">
        <v>1.5985128603360199</v>
      </c>
      <c r="O1932" s="1469"/>
    </row>
    <row r="1933" spans="11:15">
      <c r="K1933" s="1466">
        <v>43990</v>
      </c>
      <c r="L1933" s="1467" t="s">
        <v>2127</v>
      </c>
      <c r="M1933" s="1468">
        <v>1.1344999999999999E-2</v>
      </c>
      <c r="N1933" s="1469">
        <v>1.5986942116200249</v>
      </c>
      <c r="O1933" s="1469"/>
    </row>
    <row r="1934" spans="11:15">
      <c r="K1934" s="1466">
        <v>43991</v>
      </c>
      <c r="L1934" s="1467" t="s">
        <v>2127</v>
      </c>
      <c r="M1934" s="1468">
        <v>1.1344999999999999E-2</v>
      </c>
      <c r="N1934" s="1469">
        <v>1.598875583478333</v>
      </c>
      <c r="O1934" s="1469"/>
    </row>
    <row r="1935" spans="11:15">
      <c r="K1935" s="1466">
        <v>43992</v>
      </c>
      <c r="L1935" s="1467" t="s">
        <v>2127</v>
      </c>
      <c r="M1935" s="1468">
        <v>1.1344999999999999E-2</v>
      </c>
      <c r="N1935" s="1469">
        <v>1.5990569759132787</v>
      </c>
      <c r="O1935" s="1469"/>
    </row>
    <row r="1936" spans="11:15">
      <c r="K1936" s="1466">
        <v>43993</v>
      </c>
      <c r="L1936" s="1467"/>
      <c r="M1936" s="1468">
        <v>0</v>
      </c>
      <c r="N1936" s="1469">
        <v>1.5990569759132787</v>
      </c>
      <c r="O1936" s="1469"/>
    </row>
    <row r="1937" spans="11:15">
      <c r="K1937" s="1466">
        <v>43994</v>
      </c>
      <c r="L1937" s="1467" t="s">
        <v>2127</v>
      </c>
      <c r="M1937" s="1468">
        <v>1.1344999999999999E-2</v>
      </c>
      <c r="N1937" s="1469">
        <v>1.5992383889271959</v>
      </c>
      <c r="O1937" s="1469"/>
    </row>
    <row r="1938" spans="11:15">
      <c r="K1938" s="1466">
        <v>43995</v>
      </c>
      <c r="L1938" s="1467"/>
      <c r="M1938" s="1468">
        <v>0</v>
      </c>
      <c r="N1938" s="1469">
        <v>1.5992383889271959</v>
      </c>
      <c r="O1938" s="1469"/>
    </row>
    <row r="1939" spans="11:15">
      <c r="K1939" s="1466">
        <v>43996</v>
      </c>
      <c r="L1939" s="1467"/>
      <c r="M1939" s="1468">
        <v>0</v>
      </c>
      <c r="N1939" s="1469">
        <v>1.5992383889271959</v>
      </c>
      <c r="O1939" s="1469"/>
    </row>
    <row r="1940" spans="11:15">
      <c r="K1940" s="1466">
        <v>43997</v>
      </c>
      <c r="L1940" s="1467" t="s">
        <v>2127</v>
      </c>
      <c r="M1940" s="1468">
        <v>1.1344999999999999E-2</v>
      </c>
      <c r="N1940" s="1469">
        <v>1.5994198225224197</v>
      </c>
      <c r="O1940" s="1469"/>
    </row>
    <row r="1941" spans="11:15">
      <c r="K1941" s="1466">
        <v>43998</v>
      </c>
      <c r="L1941" s="1467" t="s">
        <v>2127</v>
      </c>
      <c r="M1941" s="1468">
        <v>1.1344999999999999E-2</v>
      </c>
      <c r="N1941" s="1469">
        <v>1.5996012767012848</v>
      </c>
      <c r="O1941" s="1469"/>
    </row>
    <row r="1942" spans="11:15">
      <c r="K1942" s="1466">
        <v>43999</v>
      </c>
      <c r="L1942" s="1467" t="s">
        <v>2127</v>
      </c>
      <c r="M1942" s="1468">
        <v>1.1344999999999999E-2</v>
      </c>
      <c r="N1942" s="1469">
        <v>1.5997827514661265</v>
      </c>
      <c r="O1942" s="1469"/>
    </row>
    <row r="1943" spans="11:15">
      <c r="K1943" s="1466">
        <v>44000</v>
      </c>
      <c r="L1943" s="1467" t="s">
        <v>2127</v>
      </c>
      <c r="M1943" s="1468">
        <v>8.4419999999999999E-3</v>
      </c>
      <c r="N1943" s="1469">
        <v>1.5999178051260055</v>
      </c>
      <c r="O1943" s="1469"/>
    </row>
    <row r="1944" spans="11:15">
      <c r="K1944" s="1466">
        <v>44001</v>
      </c>
      <c r="L1944" s="1467" t="s">
        <v>2127</v>
      </c>
      <c r="M1944" s="1468">
        <v>8.4419999999999999E-3</v>
      </c>
      <c r="N1944" s="1469">
        <v>1.6000528701871144</v>
      </c>
      <c r="O1944" s="1469"/>
    </row>
    <row r="1945" spans="11:15">
      <c r="K1945" s="1466">
        <v>44002</v>
      </c>
      <c r="L1945" s="1467"/>
      <c r="M1945" s="1468">
        <v>0</v>
      </c>
      <c r="N1945" s="1469">
        <v>1.6000528701871144</v>
      </c>
      <c r="O1945" s="1469"/>
    </row>
    <row r="1946" spans="11:15">
      <c r="K1946" s="1466">
        <v>44003</v>
      </c>
      <c r="L1946" s="1467"/>
      <c r="M1946" s="1468">
        <v>0</v>
      </c>
      <c r="N1946" s="1469">
        <v>1.6000528701871144</v>
      </c>
      <c r="O1946" s="1469"/>
    </row>
    <row r="1947" spans="11:15">
      <c r="K1947" s="1466">
        <v>44004</v>
      </c>
      <c r="L1947" s="1467" t="s">
        <v>2127</v>
      </c>
      <c r="M1947" s="1468">
        <v>8.4419999999999999E-3</v>
      </c>
      <c r="N1947" s="1469">
        <v>1.6001879466504156</v>
      </c>
      <c r="O1947" s="1469"/>
    </row>
    <row r="1948" spans="11:15">
      <c r="K1948" s="1466">
        <v>44005</v>
      </c>
      <c r="L1948" s="1467" t="s">
        <v>2127</v>
      </c>
      <c r="M1948" s="1468">
        <v>8.4419999999999999E-3</v>
      </c>
      <c r="N1948" s="1469">
        <v>1.600323034516872</v>
      </c>
      <c r="O1948" s="1469"/>
    </row>
    <row r="1949" spans="11:15">
      <c r="K1949" s="1466">
        <v>44006</v>
      </c>
      <c r="L1949" s="1467" t="s">
        <v>2127</v>
      </c>
      <c r="M1949" s="1468">
        <v>8.4419999999999999E-3</v>
      </c>
      <c r="N1949" s="1469">
        <v>1.6004581337874459</v>
      </c>
      <c r="O1949" s="1469"/>
    </row>
    <row r="1950" spans="11:15">
      <c r="K1950" s="1466">
        <v>44007</v>
      </c>
      <c r="L1950" s="1467" t="s">
        <v>2127</v>
      </c>
      <c r="M1950" s="1468">
        <v>8.4419999999999999E-3</v>
      </c>
      <c r="N1950" s="1469">
        <v>1.6005932444631004</v>
      </c>
      <c r="O1950" s="1469"/>
    </row>
    <row r="1951" spans="11:15">
      <c r="K1951" s="1466">
        <v>44008</v>
      </c>
      <c r="L1951" s="1467" t="s">
        <v>2127</v>
      </c>
      <c r="M1951" s="1468">
        <v>8.4419999999999999E-3</v>
      </c>
      <c r="N1951" s="1469">
        <v>1.600728366544798</v>
      </c>
      <c r="O1951" s="1469"/>
    </row>
    <row r="1952" spans="11:15">
      <c r="K1952" s="1466">
        <v>44009</v>
      </c>
      <c r="L1952" s="1467"/>
      <c r="M1952" s="1468">
        <v>0</v>
      </c>
      <c r="N1952" s="1469">
        <v>1.600728366544798</v>
      </c>
      <c r="O1952" s="1469"/>
    </row>
    <row r="1953" spans="11:15">
      <c r="K1953" s="1466">
        <v>44010</v>
      </c>
      <c r="L1953" s="1467"/>
      <c r="M1953" s="1468">
        <v>0</v>
      </c>
      <c r="N1953" s="1469">
        <v>1.600728366544798</v>
      </c>
      <c r="O1953" s="1469"/>
    </row>
    <row r="1954" spans="11:15">
      <c r="K1954" s="1466">
        <v>44011</v>
      </c>
      <c r="L1954" s="1467" t="s">
        <v>2127</v>
      </c>
      <c r="M1954" s="1468">
        <v>8.4419999999999999E-3</v>
      </c>
      <c r="N1954" s="1469">
        <v>1.6008635000335019</v>
      </c>
      <c r="O1954" s="1469"/>
    </row>
    <row r="1955" spans="11:15">
      <c r="K1955" s="1466">
        <v>44012</v>
      </c>
      <c r="L1955" s="1467" t="s">
        <v>2127</v>
      </c>
      <c r="M1955" s="1468">
        <v>8.4419999999999999E-3</v>
      </c>
      <c r="N1955" s="1469">
        <v>1.6009986449301747</v>
      </c>
      <c r="O1955" s="1469"/>
    </row>
    <row r="1956" spans="11:15">
      <c r="K1956" s="1466">
        <v>44013</v>
      </c>
      <c r="L1956" s="1467" t="s">
        <v>2127</v>
      </c>
      <c r="M1956" s="1468">
        <v>8.4419999999999999E-3</v>
      </c>
      <c r="N1956" s="1469">
        <v>1.6011338012357799</v>
      </c>
      <c r="O1956" s="1469"/>
    </row>
    <row r="1957" spans="11:15">
      <c r="K1957" s="1466">
        <v>44014</v>
      </c>
      <c r="L1957" s="1467" t="s">
        <v>2127</v>
      </c>
      <c r="M1957" s="1468">
        <v>8.4419999999999999E-3</v>
      </c>
      <c r="N1957" s="1469">
        <v>1.6012689689512802</v>
      </c>
      <c r="O1957" s="1469"/>
    </row>
    <row r="1958" spans="11:15">
      <c r="K1958" s="1466">
        <v>44015</v>
      </c>
      <c r="L1958" s="1467" t="s">
        <v>2127</v>
      </c>
      <c r="M1958" s="1468">
        <v>8.4419999999999999E-3</v>
      </c>
      <c r="N1958" s="1469">
        <v>1.6014041480776393</v>
      </c>
      <c r="O1958" s="1469"/>
    </row>
    <row r="1959" spans="11:15">
      <c r="K1959" s="1466">
        <v>44016</v>
      </c>
      <c r="L1959" s="1467"/>
      <c r="M1959" s="1468">
        <v>0</v>
      </c>
      <c r="N1959" s="1469">
        <v>1.6014041480776393</v>
      </c>
      <c r="O1959" s="1469"/>
    </row>
    <row r="1960" spans="11:15">
      <c r="K1960" s="1466">
        <v>44017</v>
      </c>
      <c r="L1960" s="1467"/>
      <c r="M1960" s="1468">
        <v>0</v>
      </c>
      <c r="N1960" s="1469">
        <v>1.6014041480776393</v>
      </c>
      <c r="O1960" s="1469"/>
    </row>
    <row r="1961" spans="11:15">
      <c r="K1961" s="1466">
        <v>44018</v>
      </c>
      <c r="L1961" s="1467" t="s">
        <v>2127</v>
      </c>
      <c r="M1961" s="1468">
        <v>8.4419999999999999E-3</v>
      </c>
      <c r="N1961" s="1469">
        <v>1.6015393386158201</v>
      </c>
      <c r="O1961" s="1469"/>
    </row>
    <row r="1962" spans="11:15">
      <c r="K1962" s="1466">
        <v>44019</v>
      </c>
      <c r="L1962" s="1467" t="s">
        <v>2127</v>
      </c>
      <c r="M1962" s="1468">
        <v>8.4419999999999999E-3</v>
      </c>
      <c r="N1962" s="1469">
        <v>1.6016745405667863</v>
      </c>
      <c r="O1962" s="1469"/>
    </row>
    <row r="1963" spans="11:15">
      <c r="K1963" s="1466">
        <v>44020</v>
      </c>
      <c r="L1963" s="1467" t="s">
        <v>2127</v>
      </c>
      <c r="M1963" s="1468">
        <v>8.4419999999999999E-3</v>
      </c>
      <c r="N1963" s="1469">
        <v>1.601809753931501</v>
      </c>
      <c r="O1963" s="1469"/>
    </row>
    <row r="1964" spans="11:15">
      <c r="K1964" s="1466">
        <v>44021</v>
      </c>
      <c r="L1964" s="1467" t="s">
        <v>2127</v>
      </c>
      <c r="M1964" s="1468">
        <v>8.4419999999999999E-3</v>
      </c>
      <c r="N1964" s="1469">
        <v>1.6019449787109281</v>
      </c>
      <c r="O1964" s="1469"/>
    </row>
    <row r="1965" spans="11:15">
      <c r="K1965" s="1466">
        <v>44022</v>
      </c>
      <c r="L1965" s="1467" t="s">
        <v>2127</v>
      </c>
      <c r="M1965" s="1468">
        <v>8.4419999999999999E-3</v>
      </c>
      <c r="N1965" s="1469">
        <v>1.6020802149060309</v>
      </c>
      <c r="O1965" s="1469"/>
    </row>
    <row r="1966" spans="11:15">
      <c r="K1966" s="1466">
        <v>44023</v>
      </c>
      <c r="L1966" s="1467"/>
      <c r="M1966" s="1468">
        <v>0</v>
      </c>
      <c r="N1966" s="1469">
        <v>1.6020802149060309</v>
      </c>
      <c r="O1966" s="1469"/>
    </row>
    <row r="1967" spans="11:15">
      <c r="K1967" s="1466">
        <v>44024</v>
      </c>
      <c r="L1967" s="1467"/>
      <c r="M1967" s="1468">
        <v>0</v>
      </c>
      <c r="N1967" s="1469">
        <v>1.6020802149060309</v>
      </c>
      <c r="O1967" s="1469"/>
    </row>
    <row r="1968" spans="11:15">
      <c r="K1968" s="1466">
        <v>44025</v>
      </c>
      <c r="L1968" s="1467" t="s">
        <v>2127</v>
      </c>
      <c r="M1968" s="1468">
        <v>8.4419999999999999E-3</v>
      </c>
      <c r="N1968" s="1469">
        <v>1.6022154625177734</v>
      </c>
      <c r="O1968" s="1469"/>
    </row>
    <row r="1969" spans="11:15">
      <c r="K1969" s="1466">
        <v>44026</v>
      </c>
      <c r="L1969" s="1467" t="s">
        <v>2127</v>
      </c>
      <c r="M1969" s="1468">
        <v>8.4419999999999999E-3</v>
      </c>
      <c r="N1969" s="1469">
        <v>1.6023507215471193</v>
      </c>
      <c r="O1969" s="1469"/>
    </row>
    <row r="1970" spans="11:15">
      <c r="K1970" s="1466">
        <v>44027</v>
      </c>
      <c r="L1970" s="1467" t="s">
        <v>2127</v>
      </c>
      <c r="M1970" s="1468">
        <v>8.4419999999999999E-3</v>
      </c>
      <c r="N1970" s="1469">
        <v>1.6024859919950325</v>
      </c>
      <c r="O1970" s="1469"/>
    </row>
    <row r="1971" spans="11:15">
      <c r="K1971" s="1466">
        <v>44028</v>
      </c>
      <c r="L1971" s="1467" t="s">
        <v>2127</v>
      </c>
      <c r="M1971" s="1468">
        <v>8.4419999999999999E-3</v>
      </c>
      <c r="N1971" s="1469">
        <v>1.6026212738624768</v>
      </c>
      <c r="O1971" s="1469"/>
    </row>
    <row r="1972" spans="11:15">
      <c r="K1972" s="1466">
        <v>44029</v>
      </c>
      <c r="L1972" s="1467" t="s">
        <v>2127</v>
      </c>
      <c r="M1972" s="1468">
        <v>8.4419999999999999E-3</v>
      </c>
      <c r="N1972" s="1469">
        <v>1.6027565671504165</v>
      </c>
      <c r="O1972" s="1469"/>
    </row>
    <row r="1973" spans="11:15">
      <c r="K1973" s="1466">
        <v>44030</v>
      </c>
      <c r="L1973" s="1467"/>
      <c r="M1973" s="1468">
        <v>0</v>
      </c>
      <c r="N1973" s="1469">
        <v>1.6027565671504165</v>
      </c>
      <c r="O1973" s="1469"/>
    </row>
    <row r="1974" spans="11:15">
      <c r="K1974" s="1466">
        <v>44031</v>
      </c>
      <c r="L1974" s="1467"/>
      <c r="M1974" s="1468">
        <v>0</v>
      </c>
      <c r="N1974" s="1469">
        <v>1.6027565671504165</v>
      </c>
      <c r="O1974" s="1469"/>
    </row>
    <row r="1975" spans="11:15">
      <c r="K1975" s="1466">
        <v>44032</v>
      </c>
      <c r="L1975" s="1467" t="s">
        <v>2127</v>
      </c>
      <c r="M1975" s="1468">
        <v>8.4419999999999999E-3</v>
      </c>
      <c r="N1975" s="1469">
        <v>1.6028918718598155</v>
      </c>
      <c r="O1975" s="1469"/>
    </row>
    <row r="1976" spans="11:15">
      <c r="K1976" s="1466">
        <v>44033</v>
      </c>
      <c r="L1976" s="1467" t="s">
        <v>2127</v>
      </c>
      <c r="M1976" s="1468">
        <v>8.4419999999999999E-3</v>
      </c>
      <c r="N1976" s="1469">
        <v>1.603027187991638</v>
      </c>
      <c r="O1976" s="1469"/>
    </row>
    <row r="1977" spans="11:15">
      <c r="K1977" s="1466">
        <v>44034</v>
      </c>
      <c r="L1977" s="1467" t="s">
        <v>2127</v>
      </c>
      <c r="M1977" s="1468">
        <v>8.4419999999999999E-3</v>
      </c>
      <c r="N1977" s="1469">
        <v>1.6031625155468483</v>
      </c>
      <c r="O1977" s="1469"/>
    </row>
    <row r="1978" spans="11:15">
      <c r="K1978" s="1466">
        <v>44035</v>
      </c>
      <c r="L1978" s="1467" t="s">
        <v>2127</v>
      </c>
      <c r="M1978" s="1468">
        <v>8.4419999999999999E-3</v>
      </c>
      <c r="N1978" s="1469">
        <v>1.6032978545264109</v>
      </c>
      <c r="O1978" s="1469"/>
    </row>
    <row r="1979" spans="11:15">
      <c r="K1979" s="1466">
        <v>44036</v>
      </c>
      <c r="L1979" s="1467" t="s">
        <v>2127</v>
      </c>
      <c r="M1979" s="1468">
        <v>8.4419999999999999E-3</v>
      </c>
      <c r="N1979" s="1469">
        <v>1.6034332049312903</v>
      </c>
      <c r="O1979" s="1469"/>
    </row>
    <row r="1980" spans="11:15">
      <c r="K1980" s="1466">
        <v>44037</v>
      </c>
      <c r="L1980" s="1467"/>
      <c r="M1980" s="1468">
        <v>0</v>
      </c>
      <c r="N1980" s="1469">
        <v>1.6034332049312903</v>
      </c>
      <c r="O1980" s="1469"/>
    </row>
    <row r="1981" spans="11:15">
      <c r="K1981" s="1466">
        <v>44038</v>
      </c>
      <c r="L1981" s="1467"/>
      <c r="M1981" s="1468">
        <v>0</v>
      </c>
      <c r="N1981" s="1469">
        <v>1.6034332049312903</v>
      </c>
      <c r="O1981" s="1469"/>
    </row>
    <row r="1982" spans="11:15">
      <c r="K1982" s="1466">
        <v>44039</v>
      </c>
      <c r="L1982" s="1467" t="s">
        <v>2127</v>
      </c>
      <c r="M1982" s="1468">
        <v>8.4419999999999999E-3</v>
      </c>
      <c r="N1982" s="1469">
        <v>1.6035685667624506</v>
      </c>
      <c r="O1982" s="1469"/>
    </row>
    <row r="1983" spans="11:15">
      <c r="K1983" s="1466">
        <v>44040</v>
      </c>
      <c r="L1983" s="1467" t="s">
        <v>2127</v>
      </c>
      <c r="M1983" s="1468">
        <v>8.4419999999999999E-3</v>
      </c>
      <c r="N1983" s="1469">
        <v>1.6037039400208568</v>
      </c>
      <c r="O1983" s="1469"/>
    </row>
    <row r="1984" spans="11:15">
      <c r="K1984" s="1466">
        <v>44041</v>
      </c>
      <c r="L1984" s="1467" t="s">
        <v>2127</v>
      </c>
      <c r="M1984" s="1468">
        <v>8.4419999999999999E-3</v>
      </c>
      <c r="N1984" s="1469">
        <v>1.6038393247074736</v>
      </c>
      <c r="O1984" s="1469"/>
    </row>
    <row r="1985" spans="11:15">
      <c r="K1985" s="1466">
        <v>44042</v>
      </c>
      <c r="L1985" s="1467" t="s">
        <v>2127</v>
      </c>
      <c r="M1985" s="1468">
        <v>8.4419999999999999E-3</v>
      </c>
      <c r="N1985" s="1469">
        <v>1.6039747208232655</v>
      </c>
      <c r="O1985" s="1469"/>
    </row>
    <row r="1986" spans="11:15">
      <c r="K1986" s="1466">
        <v>44043</v>
      </c>
      <c r="L1986" s="1467" t="s">
        <v>2127</v>
      </c>
      <c r="M1986" s="1468">
        <v>8.4419999999999999E-3</v>
      </c>
      <c r="N1986" s="1469">
        <v>1.6041101283691976</v>
      </c>
      <c r="O1986" s="1469"/>
    </row>
    <row r="1987" spans="11:15">
      <c r="K1987" s="1466">
        <v>44044</v>
      </c>
      <c r="L1987" s="1467"/>
      <c r="M1987" s="1468">
        <v>0</v>
      </c>
      <c r="N1987" s="1469">
        <v>1.6041101283691976</v>
      </c>
      <c r="O1987" s="1469"/>
    </row>
    <row r="1988" spans="11:15">
      <c r="K1988" s="1466">
        <v>44045</v>
      </c>
      <c r="L1988" s="1467"/>
      <c r="M1988" s="1468">
        <v>0</v>
      </c>
      <c r="N1988" s="1469">
        <v>1.6041101283691976</v>
      </c>
      <c r="O1988" s="1469"/>
    </row>
    <row r="1989" spans="11:15">
      <c r="K1989" s="1466">
        <v>44046</v>
      </c>
      <c r="L1989" s="1467" t="s">
        <v>2127</v>
      </c>
      <c r="M1989" s="1468">
        <v>8.4419999999999999E-3</v>
      </c>
      <c r="N1989" s="1469">
        <v>1.6042455473462347</v>
      </c>
      <c r="O1989" s="1469"/>
    </row>
    <row r="1990" spans="11:15">
      <c r="K1990" s="1466">
        <v>44047</v>
      </c>
      <c r="L1990" s="1467" t="s">
        <v>2127</v>
      </c>
      <c r="M1990" s="1468">
        <v>8.4419999999999999E-3</v>
      </c>
      <c r="N1990" s="1469">
        <v>1.6043809777553417</v>
      </c>
      <c r="O1990" s="1469"/>
    </row>
    <row r="1991" spans="11:15">
      <c r="K1991" s="1466">
        <v>44048</v>
      </c>
      <c r="L1991" s="1467" t="s">
        <v>2127</v>
      </c>
      <c r="M1991" s="1468">
        <v>8.4419999999999999E-3</v>
      </c>
      <c r="N1991" s="1469">
        <v>1.6045164195974839</v>
      </c>
      <c r="O1991" s="1469"/>
    </row>
    <row r="1992" spans="11:15">
      <c r="K1992" s="1466">
        <v>44049</v>
      </c>
      <c r="L1992" s="1467" t="s">
        <v>2127</v>
      </c>
      <c r="M1992" s="1468">
        <v>7.4689999999999999E-3</v>
      </c>
      <c r="N1992" s="1469">
        <v>1.6046362609288636</v>
      </c>
      <c r="O1992" s="1469"/>
    </row>
    <row r="1993" spans="11:15">
      <c r="K1993" s="1466">
        <v>44050</v>
      </c>
      <c r="L1993" s="1467" t="s">
        <v>2127</v>
      </c>
      <c r="M1993" s="1468">
        <v>7.4689999999999999E-3</v>
      </c>
      <c r="N1993" s="1469">
        <v>1.6047561112111923</v>
      </c>
      <c r="O1993" s="1469"/>
    </row>
    <row r="1994" spans="11:15">
      <c r="K1994" s="1466">
        <v>44051</v>
      </c>
      <c r="L1994" s="1467"/>
      <c r="M1994" s="1468">
        <v>0</v>
      </c>
      <c r="N1994" s="1469">
        <v>1.6047561112111923</v>
      </c>
      <c r="O1994" s="1469"/>
    </row>
    <row r="1995" spans="11:15">
      <c r="K1995" s="1466">
        <v>44052</v>
      </c>
      <c r="L1995" s="1467"/>
      <c r="M1995" s="1468">
        <v>0</v>
      </c>
      <c r="N1995" s="1469">
        <v>1.6047561112111923</v>
      </c>
      <c r="O1995" s="1469"/>
    </row>
    <row r="1996" spans="11:15">
      <c r="K1996" s="1466">
        <v>44053</v>
      </c>
      <c r="L1996" s="1467" t="s">
        <v>2127</v>
      </c>
      <c r="M1996" s="1468">
        <v>7.4689999999999999E-3</v>
      </c>
      <c r="N1996" s="1469">
        <v>1.6048759704451385</v>
      </c>
      <c r="O1996" s="1469"/>
    </row>
    <row r="1997" spans="11:15">
      <c r="K1997" s="1466">
        <v>44054</v>
      </c>
      <c r="L1997" s="1467" t="s">
        <v>2127</v>
      </c>
      <c r="M1997" s="1468">
        <v>7.4689999999999999E-3</v>
      </c>
      <c r="N1997" s="1469">
        <v>1.604995838631371</v>
      </c>
      <c r="O1997" s="1469"/>
    </row>
    <row r="1998" spans="11:15">
      <c r="K1998" s="1466">
        <v>44055</v>
      </c>
      <c r="L1998" s="1467" t="s">
        <v>2127</v>
      </c>
      <c r="M1998" s="1468">
        <v>7.4689999999999999E-3</v>
      </c>
      <c r="N1998" s="1469">
        <v>1.6051157157705582</v>
      </c>
      <c r="O1998" s="1469"/>
    </row>
    <row r="1999" spans="11:15">
      <c r="K1999" s="1466">
        <v>44056</v>
      </c>
      <c r="L1999" s="1467" t="s">
        <v>2127</v>
      </c>
      <c r="M1999" s="1468">
        <v>7.4689999999999999E-3</v>
      </c>
      <c r="N1999" s="1469">
        <v>1.6052356018633691</v>
      </c>
      <c r="O1999" s="1469"/>
    </row>
    <row r="2000" spans="11:15">
      <c r="K2000" s="1466">
        <v>44057</v>
      </c>
      <c r="L2000" s="1467" t="s">
        <v>2127</v>
      </c>
      <c r="M2000" s="1468">
        <v>7.4689999999999999E-3</v>
      </c>
      <c r="N2000" s="1469">
        <v>1.6053554969104722</v>
      </c>
      <c r="O2000" s="1469"/>
    </row>
    <row r="2001" spans="11:15">
      <c r="K2001" s="1466">
        <v>44058</v>
      </c>
      <c r="L2001" s="1467"/>
      <c r="M2001" s="1468">
        <v>0</v>
      </c>
      <c r="N2001" s="1469">
        <v>1.6053554969104722</v>
      </c>
      <c r="O2001" s="1469"/>
    </row>
    <row r="2002" spans="11:15">
      <c r="K2002" s="1466">
        <v>44059</v>
      </c>
      <c r="L2002" s="1467"/>
      <c r="M2002" s="1468">
        <v>0</v>
      </c>
      <c r="N2002" s="1469">
        <v>1.6053554969104722</v>
      </c>
      <c r="O2002" s="1469"/>
    </row>
    <row r="2003" spans="11:15">
      <c r="K2003" s="1466">
        <v>44060</v>
      </c>
      <c r="L2003" s="1467" t="s">
        <v>2127</v>
      </c>
      <c r="M2003" s="1468">
        <v>7.4689999999999999E-3</v>
      </c>
      <c r="N2003" s="1469">
        <v>1.6054754009125363</v>
      </c>
      <c r="O2003" s="1469"/>
    </row>
    <row r="2004" spans="11:15">
      <c r="K2004" s="1466">
        <v>44061</v>
      </c>
      <c r="L2004" s="1467" t="s">
        <v>2127</v>
      </c>
      <c r="M2004" s="1468">
        <v>7.4689999999999999E-3</v>
      </c>
      <c r="N2004" s="1469">
        <v>1.6055953138702304</v>
      </c>
      <c r="O2004" s="1469"/>
    </row>
    <row r="2005" spans="11:15">
      <c r="K2005" s="1466">
        <v>44062</v>
      </c>
      <c r="L2005" s="1467" t="s">
        <v>2127</v>
      </c>
      <c r="M2005" s="1468">
        <v>7.4689999999999999E-3</v>
      </c>
      <c r="N2005" s="1469">
        <v>1.6057152357842233</v>
      </c>
      <c r="O2005" s="1469"/>
    </row>
    <row r="2006" spans="11:15">
      <c r="K2006" s="1466">
        <v>44063</v>
      </c>
      <c r="L2006" s="1467" t="s">
        <v>2127</v>
      </c>
      <c r="M2006" s="1468">
        <v>7.4689999999999999E-3</v>
      </c>
      <c r="N2006" s="1469">
        <v>1.6058351666551838</v>
      </c>
      <c r="O2006" s="1469"/>
    </row>
    <row r="2007" spans="11:15">
      <c r="K2007" s="1466">
        <v>44064</v>
      </c>
      <c r="L2007" s="1467" t="s">
        <v>2127</v>
      </c>
      <c r="M2007" s="1468">
        <v>7.4689999999999999E-3</v>
      </c>
      <c r="N2007" s="1469">
        <v>1.6059551064837811</v>
      </c>
      <c r="O2007" s="1469"/>
    </row>
    <row r="2008" spans="11:15">
      <c r="K2008" s="1466">
        <v>44065</v>
      </c>
      <c r="L2008" s="1467"/>
      <c r="M2008" s="1468">
        <v>0</v>
      </c>
      <c r="N2008" s="1469">
        <v>1.6059551064837811</v>
      </c>
      <c r="O2008" s="1469"/>
    </row>
    <row r="2009" spans="11:15">
      <c r="K2009" s="1466">
        <v>44066</v>
      </c>
      <c r="L2009" s="1467"/>
      <c r="M2009" s="1468">
        <v>0</v>
      </c>
      <c r="N2009" s="1469">
        <v>1.6059551064837811</v>
      </c>
      <c r="O2009" s="1469"/>
    </row>
    <row r="2010" spans="11:15">
      <c r="K2010" s="1466">
        <v>44067</v>
      </c>
      <c r="L2010" s="1467" t="s">
        <v>2127</v>
      </c>
      <c r="M2010" s="1468">
        <v>7.4689999999999999E-3</v>
      </c>
      <c r="N2010" s="1469">
        <v>1.6060750552706844</v>
      </c>
      <c r="O2010" s="1469"/>
    </row>
    <row r="2011" spans="11:15">
      <c r="K2011" s="1466">
        <v>44068</v>
      </c>
      <c r="L2011" s="1467" t="s">
        <v>2127</v>
      </c>
      <c r="M2011" s="1468">
        <v>7.4689999999999999E-3</v>
      </c>
      <c r="N2011" s="1469">
        <v>1.6061950130165625</v>
      </c>
      <c r="O2011" s="1469"/>
    </row>
    <row r="2012" spans="11:15">
      <c r="K2012" s="1466">
        <v>44069</v>
      </c>
      <c r="L2012" s="1467" t="s">
        <v>2127</v>
      </c>
      <c r="M2012" s="1468">
        <v>7.4689999999999999E-3</v>
      </c>
      <c r="N2012" s="1469">
        <v>1.6063149797220846</v>
      </c>
      <c r="O2012" s="1469"/>
    </row>
    <row r="2013" spans="11:15">
      <c r="K2013" s="1466">
        <v>44070</v>
      </c>
      <c r="L2013" s="1467" t="s">
        <v>2127</v>
      </c>
      <c r="M2013" s="1468">
        <v>7.4689999999999999E-3</v>
      </c>
      <c r="N2013" s="1469">
        <v>1.60643495538792</v>
      </c>
      <c r="O2013" s="1469"/>
    </row>
    <row r="2014" spans="11:15">
      <c r="K2014" s="1466">
        <v>44071</v>
      </c>
      <c r="L2014" s="1467" t="s">
        <v>2127</v>
      </c>
      <c r="M2014" s="1468">
        <v>7.4689999999999999E-3</v>
      </c>
      <c r="N2014" s="1469">
        <v>1.6065549400147379</v>
      </c>
      <c r="O2014" s="1469"/>
    </row>
    <row r="2015" spans="11:15">
      <c r="K2015" s="1466">
        <v>44072</v>
      </c>
      <c r="L2015" s="1467"/>
      <c r="M2015" s="1468">
        <v>0</v>
      </c>
      <c r="N2015" s="1469">
        <v>1.6065549400147379</v>
      </c>
      <c r="O2015" s="1469"/>
    </row>
    <row r="2016" spans="11:15">
      <c r="K2016" s="1466">
        <v>44073</v>
      </c>
      <c r="L2016" s="1467"/>
      <c r="M2016" s="1468">
        <v>0</v>
      </c>
      <c r="N2016" s="1469">
        <v>1.6065549400147379</v>
      </c>
      <c r="O2016" s="1469"/>
    </row>
    <row r="2017" spans="11:15">
      <c r="K2017" s="1466">
        <v>44074</v>
      </c>
      <c r="L2017" s="1467" t="s">
        <v>2127</v>
      </c>
      <c r="M2017" s="1468">
        <v>7.4689999999999999E-3</v>
      </c>
      <c r="N2017" s="1469">
        <v>1.6066749336032076</v>
      </c>
      <c r="O2017" s="1469"/>
    </row>
    <row r="2018" spans="11:15">
      <c r="K2018" s="1466">
        <v>44075</v>
      </c>
      <c r="L2018" s="1467" t="s">
        <v>2127</v>
      </c>
      <c r="M2018" s="1468">
        <v>7.4689999999999999E-3</v>
      </c>
      <c r="N2018" s="1469">
        <v>1.6067949361539984</v>
      </c>
      <c r="O2018" s="1469"/>
    </row>
    <row r="2019" spans="11:15">
      <c r="K2019" s="1466">
        <v>44076</v>
      </c>
      <c r="L2019" s="1467" t="s">
        <v>2127</v>
      </c>
      <c r="M2019" s="1468">
        <v>7.4689999999999999E-3</v>
      </c>
      <c r="N2019" s="1469">
        <v>1.6069149476677795</v>
      </c>
      <c r="O2019" s="1469"/>
    </row>
    <row r="2020" spans="11:15">
      <c r="K2020" s="1466">
        <v>44077</v>
      </c>
      <c r="L2020" s="1467" t="s">
        <v>2127</v>
      </c>
      <c r="M2020" s="1468">
        <v>7.4689999999999999E-3</v>
      </c>
      <c r="N2020" s="1469">
        <v>1.6070349681452207</v>
      </c>
      <c r="O2020" s="1469"/>
    </row>
    <row r="2021" spans="11:15">
      <c r="K2021" s="1466">
        <v>44078</v>
      </c>
      <c r="L2021" s="1467" t="s">
        <v>2127</v>
      </c>
      <c r="M2021" s="1468">
        <v>7.4689999999999999E-3</v>
      </c>
      <c r="N2021" s="1469">
        <v>1.6071549975869914</v>
      </c>
      <c r="O2021" s="1469"/>
    </row>
    <row r="2022" spans="11:15">
      <c r="K2022" s="1466">
        <v>44079</v>
      </c>
      <c r="L2022" s="1467"/>
      <c r="M2022" s="1468">
        <v>0</v>
      </c>
      <c r="N2022" s="1469">
        <v>1.6071549975869914</v>
      </c>
      <c r="O2022" s="1469"/>
    </row>
    <row r="2023" spans="11:15">
      <c r="K2023" s="1466">
        <v>44080</v>
      </c>
      <c r="L2023" s="1467"/>
      <c r="M2023" s="1468">
        <v>0</v>
      </c>
      <c r="N2023" s="1469">
        <v>1.6071549975869914</v>
      </c>
      <c r="O2023" s="1469"/>
    </row>
    <row r="2024" spans="11:15">
      <c r="K2024" s="1466">
        <v>44081</v>
      </c>
      <c r="L2024" s="1467"/>
      <c r="M2024" s="1468">
        <v>0</v>
      </c>
      <c r="N2024" s="1469">
        <v>1.6071549975869914</v>
      </c>
      <c r="O2024" s="1469"/>
    </row>
    <row r="2025" spans="11:15">
      <c r="K2025" s="1466">
        <v>44082</v>
      </c>
      <c r="L2025" s="1467" t="s">
        <v>2127</v>
      </c>
      <c r="M2025" s="1468">
        <v>7.4689999999999999E-3</v>
      </c>
      <c r="N2025" s="1469">
        <v>1.6072750359937611</v>
      </c>
      <c r="O2025" s="1469"/>
    </row>
    <row r="2026" spans="11:15">
      <c r="K2026" s="1466">
        <v>44083</v>
      </c>
      <c r="L2026" s="1467" t="s">
        <v>2127</v>
      </c>
      <c r="M2026" s="1468">
        <v>7.4689999999999999E-3</v>
      </c>
      <c r="N2026" s="1469">
        <v>1.6073950833661994</v>
      </c>
      <c r="O2026" s="1469"/>
    </row>
    <row r="2027" spans="11:15">
      <c r="K2027" s="1466">
        <v>44084</v>
      </c>
      <c r="L2027" s="1467" t="s">
        <v>2127</v>
      </c>
      <c r="M2027" s="1468">
        <v>7.4689999999999999E-3</v>
      </c>
      <c r="N2027" s="1469">
        <v>1.6075151397049758</v>
      </c>
      <c r="O2027" s="1469"/>
    </row>
    <row r="2028" spans="11:15">
      <c r="K2028" s="1466">
        <v>44085</v>
      </c>
      <c r="L2028" s="1467" t="s">
        <v>2127</v>
      </c>
      <c r="M2028" s="1468">
        <v>7.4689999999999999E-3</v>
      </c>
      <c r="N2028" s="1469">
        <v>1.6076352050107603</v>
      </c>
      <c r="O2028" s="1469"/>
    </row>
    <row r="2029" spans="11:15">
      <c r="K2029" s="1466">
        <v>44086</v>
      </c>
      <c r="L2029" s="1467"/>
      <c r="M2029" s="1468">
        <v>0</v>
      </c>
      <c r="N2029" s="1469">
        <v>1.6076352050107603</v>
      </c>
      <c r="O2029" s="1469"/>
    </row>
    <row r="2030" spans="11:15">
      <c r="K2030" s="1466">
        <v>44087</v>
      </c>
      <c r="L2030" s="1467"/>
      <c r="M2030" s="1468">
        <v>0</v>
      </c>
      <c r="N2030" s="1469">
        <v>1.6076352050107603</v>
      </c>
      <c r="O2030" s="1469"/>
    </row>
    <row r="2031" spans="11:15">
      <c r="K2031" s="1466">
        <v>44088</v>
      </c>
      <c r="L2031" s="1467" t="s">
        <v>2127</v>
      </c>
      <c r="M2031" s="1468">
        <v>7.4689999999999999E-3</v>
      </c>
      <c r="N2031" s="1469">
        <v>1.6077552792842225</v>
      </c>
      <c r="O2031" s="1469"/>
    </row>
    <row r="2032" spans="11:15">
      <c r="K2032" s="1466">
        <v>44089</v>
      </c>
      <c r="L2032" s="1467" t="s">
        <v>2127</v>
      </c>
      <c r="M2032" s="1468">
        <v>7.4689999999999999E-3</v>
      </c>
      <c r="N2032" s="1469">
        <v>1.607875362526032</v>
      </c>
      <c r="O2032" s="1469"/>
    </row>
    <row r="2033" spans="11:15">
      <c r="K2033" s="1466">
        <v>44090</v>
      </c>
      <c r="L2033" s="1467" t="s">
        <v>2127</v>
      </c>
      <c r="M2033" s="1468">
        <v>7.4689999999999999E-3</v>
      </c>
      <c r="N2033" s="1469">
        <v>1.6079954547368589</v>
      </c>
      <c r="O2033" s="1469"/>
    </row>
    <row r="2034" spans="11:15">
      <c r="K2034" s="1466">
        <v>44091</v>
      </c>
      <c r="L2034" s="1467" t="s">
        <v>2127</v>
      </c>
      <c r="M2034" s="1468">
        <v>7.4689999999999999E-3</v>
      </c>
      <c r="N2034" s="1469">
        <v>1.608115555917373</v>
      </c>
      <c r="O2034" s="1469"/>
    </row>
    <row r="2035" spans="11:15">
      <c r="K2035" s="1466">
        <v>44092</v>
      </c>
      <c r="L2035" s="1467" t="s">
        <v>2127</v>
      </c>
      <c r="M2035" s="1468">
        <v>7.4689999999999999E-3</v>
      </c>
      <c r="N2035" s="1469">
        <v>1.6082356660682444</v>
      </c>
      <c r="O2035" s="1469"/>
    </row>
    <row r="2036" spans="11:15">
      <c r="K2036" s="1466">
        <v>44093</v>
      </c>
      <c r="L2036" s="1467"/>
      <c r="M2036" s="1468">
        <v>0</v>
      </c>
      <c r="N2036" s="1469">
        <v>1.6082356660682444</v>
      </c>
      <c r="O2036" s="1469"/>
    </row>
    <row r="2037" spans="11:15">
      <c r="K2037" s="1466">
        <v>44094</v>
      </c>
      <c r="L2037" s="1467"/>
      <c r="M2037" s="1468">
        <v>0</v>
      </c>
      <c r="N2037" s="1469">
        <v>1.6082356660682444</v>
      </c>
      <c r="O2037" s="1469"/>
    </row>
    <row r="2038" spans="11:15">
      <c r="K2038" s="1466">
        <v>44095</v>
      </c>
      <c r="L2038" s="1467" t="s">
        <v>2127</v>
      </c>
      <c r="M2038" s="1468">
        <v>7.4689999999999999E-3</v>
      </c>
      <c r="N2038" s="1469">
        <v>1.6083557851901429</v>
      </c>
      <c r="O2038" s="1469"/>
    </row>
    <row r="2039" spans="11:15">
      <c r="K2039" s="1466">
        <v>44096</v>
      </c>
      <c r="L2039" s="1467" t="s">
        <v>2127</v>
      </c>
      <c r="M2039" s="1468">
        <v>7.4689999999999999E-3</v>
      </c>
      <c r="N2039" s="1469">
        <v>1.6084759132837387</v>
      </c>
      <c r="O2039" s="1469"/>
    </row>
    <row r="2040" spans="11:15">
      <c r="K2040" s="1466">
        <v>44097</v>
      </c>
      <c r="L2040" s="1467" t="s">
        <v>2127</v>
      </c>
      <c r="M2040" s="1468">
        <v>7.4689999999999999E-3</v>
      </c>
      <c r="N2040" s="1469">
        <v>1.6085960503497019</v>
      </c>
      <c r="O2040" s="1469"/>
    </row>
    <row r="2041" spans="11:15">
      <c r="K2041" s="1466">
        <v>44098</v>
      </c>
      <c r="L2041" s="1467" t="s">
        <v>2127</v>
      </c>
      <c r="M2041" s="1468">
        <v>7.4689999999999999E-3</v>
      </c>
      <c r="N2041" s="1469">
        <v>1.6087161963887024</v>
      </c>
      <c r="O2041" s="1469"/>
    </row>
    <row r="2042" spans="11:15">
      <c r="K2042" s="1466">
        <v>44099</v>
      </c>
      <c r="L2042" s="1467" t="s">
        <v>2127</v>
      </c>
      <c r="M2042" s="1468">
        <v>7.4689999999999999E-3</v>
      </c>
      <c r="N2042" s="1469">
        <v>1.6088363514014106</v>
      </c>
      <c r="O2042" s="1469"/>
    </row>
    <row r="2043" spans="11:15">
      <c r="K2043" s="1466">
        <v>44100</v>
      </c>
      <c r="L2043" s="1467"/>
      <c r="M2043" s="1468">
        <v>0</v>
      </c>
      <c r="N2043" s="1469">
        <v>1.6088363514014106</v>
      </c>
      <c r="O2043" s="1469"/>
    </row>
    <row r="2044" spans="11:15">
      <c r="K2044" s="1466">
        <v>44101</v>
      </c>
      <c r="L2044" s="1467"/>
      <c r="M2044" s="1468">
        <v>0</v>
      </c>
      <c r="N2044" s="1469">
        <v>1.6088363514014106</v>
      </c>
      <c r="O2044" s="1469"/>
    </row>
    <row r="2045" spans="11:15">
      <c r="K2045" s="1466">
        <v>44102</v>
      </c>
      <c r="L2045" s="1467" t="s">
        <v>2127</v>
      </c>
      <c r="M2045" s="1468">
        <v>7.4689999999999999E-3</v>
      </c>
      <c r="N2045" s="1469">
        <v>1.6089565153884966</v>
      </c>
      <c r="O2045" s="1469"/>
    </row>
    <row r="2046" spans="11:15">
      <c r="K2046" s="1466">
        <v>44103</v>
      </c>
      <c r="L2046" s="1467" t="s">
        <v>2127</v>
      </c>
      <c r="M2046" s="1468">
        <v>7.4689999999999999E-3</v>
      </c>
      <c r="N2046" s="1469">
        <v>1.6090766883506309</v>
      </c>
      <c r="O2046" s="1469"/>
    </row>
    <row r="2047" spans="11:15">
      <c r="K2047" s="1466">
        <v>44104</v>
      </c>
      <c r="L2047" s="1467" t="s">
        <v>2127</v>
      </c>
      <c r="M2047" s="1468">
        <v>7.4689999999999999E-3</v>
      </c>
      <c r="N2047" s="1469">
        <v>1.6091968702884838</v>
      </c>
      <c r="O2047" s="1469"/>
    </row>
    <row r="2048" spans="11:15">
      <c r="K2048" s="1466">
        <v>44105</v>
      </c>
      <c r="L2048" s="1467" t="s">
        <v>2127</v>
      </c>
      <c r="M2048" s="1468">
        <v>7.4689999999999999E-3</v>
      </c>
      <c r="N2048" s="1469">
        <v>1.6093170612027254</v>
      </c>
      <c r="O2048" s="1469"/>
    </row>
    <row r="2049" spans="11:15">
      <c r="K2049" s="1466">
        <v>44106</v>
      </c>
      <c r="L2049" s="1467" t="s">
        <v>2127</v>
      </c>
      <c r="M2049" s="1468">
        <v>7.4689999999999999E-3</v>
      </c>
      <c r="N2049" s="1469">
        <v>1.6094372610940266</v>
      </c>
      <c r="O2049" s="1469"/>
    </row>
    <row r="2050" spans="11:15">
      <c r="K2050" s="1466">
        <v>44107</v>
      </c>
      <c r="L2050" s="1467"/>
      <c r="M2050" s="1468">
        <v>0</v>
      </c>
      <c r="N2050" s="1469">
        <v>1.6094372610940266</v>
      </c>
      <c r="O2050" s="1469"/>
    </row>
    <row r="2051" spans="11:15">
      <c r="K2051" s="1466">
        <v>44108</v>
      </c>
      <c r="L2051" s="1467"/>
      <c r="M2051" s="1468">
        <v>0</v>
      </c>
      <c r="N2051" s="1469">
        <v>1.6094372610940266</v>
      </c>
      <c r="O2051" s="1469"/>
    </row>
    <row r="2052" spans="11:15">
      <c r="K2052" s="1466">
        <v>44109</v>
      </c>
      <c r="L2052" s="1467" t="s">
        <v>2127</v>
      </c>
      <c r="M2052" s="1468">
        <v>7.4689999999999999E-3</v>
      </c>
      <c r="N2052" s="1469">
        <v>1.6095574699630577</v>
      </c>
      <c r="O2052" s="1469"/>
    </row>
    <row r="2053" spans="11:15">
      <c r="K2053" s="1466">
        <v>44110</v>
      </c>
      <c r="L2053" s="1467" t="s">
        <v>2127</v>
      </c>
      <c r="M2053" s="1468">
        <v>7.4689999999999999E-3</v>
      </c>
      <c r="N2053" s="1469">
        <v>1.609677687810489</v>
      </c>
      <c r="O2053" s="1469"/>
    </row>
    <row r="2054" spans="11:15">
      <c r="K2054" s="1466">
        <v>44111</v>
      </c>
      <c r="L2054" s="1467" t="s">
        <v>2127</v>
      </c>
      <c r="M2054" s="1468">
        <v>7.4689999999999999E-3</v>
      </c>
      <c r="N2054" s="1469">
        <v>1.6097979146369914</v>
      </c>
      <c r="O2054" s="1469"/>
    </row>
    <row r="2055" spans="11:15">
      <c r="K2055" s="1466">
        <v>44112</v>
      </c>
      <c r="L2055" s="1467" t="s">
        <v>2127</v>
      </c>
      <c r="M2055" s="1468">
        <v>7.4689999999999999E-3</v>
      </c>
      <c r="N2055" s="1469">
        <v>1.6099181504432356</v>
      </c>
      <c r="O2055" s="1469"/>
    </row>
    <row r="2056" spans="11:15">
      <c r="K2056" s="1466">
        <v>44113</v>
      </c>
      <c r="L2056" s="1467" t="s">
        <v>2127</v>
      </c>
      <c r="M2056" s="1468">
        <v>7.4689999999999999E-3</v>
      </c>
      <c r="N2056" s="1469">
        <v>1.610038395229892</v>
      </c>
      <c r="O2056" s="1469"/>
    </row>
    <row r="2057" spans="11:15">
      <c r="K2057" s="1466">
        <v>44114</v>
      </c>
      <c r="L2057" s="1467"/>
      <c r="M2057" s="1468">
        <v>0</v>
      </c>
      <c r="N2057" s="1469">
        <v>1.610038395229892</v>
      </c>
      <c r="O2057" s="1469"/>
    </row>
    <row r="2058" spans="11:15">
      <c r="K2058" s="1466">
        <v>44115</v>
      </c>
      <c r="L2058" s="1467"/>
      <c r="M2058" s="1468">
        <v>0</v>
      </c>
      <c r="N2058" s="1469">
        <v>1.610038395229892</v>
      </c>
      <c r="O2058" s="1469"/>
    </row>
    <row r="2059" spans="11:15">
      <c r="K2059" s="1466">
        <v>44116</v>
      </c>
      <c r="L2059" s="1467"/>
      <c r="M2059" s="1468">
        <v>0</v>
      </c>
      <c r="N2059" s="1469">
        <v>1.610038395229892</v>
      </c>
      <c r="O2059" s="1469"/>
    </row>
    <row r="2060" spans="11:15">
      <c r="K2060" s="1466">
        <v>44117</v>
      </c>
      <c r="L2060" s="1467" t="s">
        <v>2127</v>
      </c>
      <c r="M2060" s="1468">
        <v>7.4689999999999999E-3</v>
      </c>
      <c r="N2060" s="1469">
        <v>1.6101586489976316</v>
      </c>
      <c r="O2060" s="1469"/>
    </row>
    <row r="2061" spans="11:15">
      <c r="K2061" s="1466">
        <v>44118</v>
      </c>
      <c r="L2061" s="1467" t="s">
        <v>2127</v>
      </c>
      <c r="M2061" s="1468">
        <v>7.4689999999999999E-3</v>
      </c>
      <c r="N2061" s="1469">
        <v>1.6102789117471252</v>
      </c>
      <c r="O2061" s="1469"/>
    </row>
    <row r="2062" spans="11:15">
      <c r="K2062" s="1466">
        <v>44119</v>
      </c>
      <c r="L2062" s="1467" t="s">
        <v>2127</v>
      </c>
      <c r="M2062" s="1468">
        <v>7.4689999999999999E-3</v>
      </c>
      <c r="N2062" s="1469">
        <v>1.6103991834790434</v>
      </c>
      <c r="O2062" s="1469"/>
    </row>
    <row r="2063" spans="11:15">
      <c r="K2063" s="1466">
        <v>44120</v>
      </c>
      <c r="L2063" s="1467" t="s">
        <v>2127</v>
      </c>
      <c r="M2063" s="1468">
        <v>7.4689999999999999E-3</v>
      </c>
      <c r="N2063" s="1469">
        <v>1.6105194641940574</v>
      </c>
      <c r="O2063" s="1469"/>
    </row>
    <row r="2064" spans="11:15">
      <c r="K2064" s="1466">
        <v>44121</v>
      </c>
      <c r="L2064" s="1467"/>
      <c r="M2064" s="1468">
        <v>0</v>
      </c>
      <c r="N2064" s="1469">
        <v>1.6105194641940574</v>
      </c>
      <c r="O2064" s="1469"/>
    </row>
    <row r="2065" spans="11:15">
      <c r="K2065" s="1466">
        <v>44122</v>
      </c>
      <c r="L2065" s="1467"/>
      <c r="M2065" s="1468">
        <v>0</v>
      </c>
      <c r="N2065" s="1469">
        <v>1.6105194641940574</v>
      </c>
      <c r="O2065" s="1469"/>
    </row>
    <row r="2066" spans="11:15">
      <c r="K2066" s="1466">
        <v>44123</v>
      </c>
      <c r="L2066" s="1467" t="s">
        <v>2127</v>
      </c>
      <c r="M2066" s="1468">
        <v>7.4689999999999999E-3</v>
      </c>
      <c r="N2066" s="1469">
        <v>1.6106397538928381</v>
      </c>
      <c r="O2066" s="1469"/>
    </row>
    <row r="2067" spans="11:15">
      <c r="K2067" s="1466">
        <v>44124</v>
      </c>
      <c r="L2067" s="1467" t="s">
        <v>2127</v>
      </c>
      <c r="M2067" s="1468">
        <v>7.4689999999999999E-3</v>
      </c>
      <c r="N2067" s="1469">
        <v>1.6107600525760561</v>
      </c>
      <c r="O2067" s="1469"/>
    </row>
    <row r="2068" spans="11:15">
      <c r="K2068" s="1466">
        <v>44125</v>
      </c>
      <c r="L2068" s="1467" t="s">
        <v>2127</v>
      </c>
      <c r="M2068" s="1468">
        <v>7.4689999999999999E-3</v>
      </c>
      <c r="N2068" s="1469">
        <v>1.6108803602443829</v>
      </c>
      <c r="O2068" s="1469"/>
    </row>
    <row r="2069" spans="11:15">
      <c r="K2069" s="1466">
        <v>44126</v>
      </c>
      <c r="L2069" s="1467" t="s">
        <v>2127</v>
      </c>
      <c r="M2069" s="1468">
        <v>7.4689999999999999E-3</v>
      </c>
      <c r="N2069" s="1469">
        <v>1.6110006768984895</v>
      </c>
      <c r="O2069" s="1469"/>
    </row>
    <row r="2070" spans="11:15">
      <c r="K2070" s="1466">
        <v>44127</v>
      </c>
      <c r="L2070" s="1467" t="s">
        <v>2127</v>
      </c>
      <c r="M2070" s="1468">
        <v>7.4689999999999999E-3</v>
      </c>
      <c r="N2070" s="1469">
        <v>1.611121002539047</v>
      </c>
      <c r="O2070" s="1469"/>
    </row>
    <row r="2071" spans="11:15">
      <c r="K2071" s="1466">
        <v>44128</v>
      </c>
      <c r="L2071" s="1467"/>
      <c r="M2071" s="1468">
        <v>0</v>
      </c>
      <c r="N2071" s="1469">
        <v>1.611121002539047</v>
      </c>
      <c r="O2071" s="1469"/>
    </row>
    <row r="2072" spans="11:15">
      <c r="K2072" s="1466">
        <v>44129</v>
      </c>
      <c r="L2072" s="1467"/>
      <c r="M2072" s="1468">
        <v>0</v>
      </c>
      <c r="N2072" s="1469">
        <v>1.611121002539047</v>
      </c>
      <c r="O2072" s="1469"/>
    </row>
    <row r="2073" spans="11:15">
      <c r="K2073" s="1466">
        <v>44130</v>
      </c>
      <c r="L2073" s="1467" t="s">
        <v>2127</v>
      </c>
      <c r="M2073" s="1468">
        <v>7.4689999999999999E-3</v>
      </c>
      <c r="N2073" s="1469">
        <v>1.6112413371667265</v>
      </c>
      <c r="O2073" s="1469"/>
    </row>
    <row r="2074" spans="11:15">
      <c r="K2074" s="1466">
        <v>44131</v>
      </c>
      <c r="L2074" s="1467" t="s">
        <v>2127</v>
      </c>
      <c r="M2074" s="1468">
        <v>7.4689999999999999E-3</v>
      </c>
      <c r="N2074" s="1469">
        <v>1.6113616807821993</v>
      </c>
      <c r="O2074" s="1469"/>
    </row>
    <row r="2075" spans="11:15">
      <c r="K2075" s="1466">
        <v>44132</v>
      </c>
      <c r="L2075" s="1467" t="s">
        <v>2127</v>
      </c>
      <c r="M2075" s="1468">
        <v>7.4689999999999999E-3</v>
      </c>
      <c r="N2075" s="1469">
        <v>1.6114820333861368</v>
      </c>
      <c r="O2075" s="1469"/>
    </row>
    <row r="2076" spans="11:15">
      <c r="K2076" s="1466">
        <v>44133</v>
      </c>
      <c r="L2076" s="1467" t="s">
        <v>2127</v>
      </c>
      <c r="M2076" s="1468">
        <v>7.4689999999999999E-3</v>
      </c>
      <c r="N2076" s="1469">
        <v>1.6116023949792104</v>
      </c>
      <c r="O2076" s="1469"/>
    </row>
    <row r="2077" spans="11:15">
      <c r="K2077" s="1466">
        <v>44134</v>
      </c>
      <c r="L2077" s="1467" t="s">
        <v>2127</v>
      </c>
      <c r="M2077" s="1468">
        <v>7.4689999999999999E-3</v>
      </c>
      <c r="N2077" s="1469">
        <v>1.6117227655620914</v>
      </c>
      <c r="O2077" s="1469"/>
    </row>
    <row r="2078" spans="11:15">
      <c r="K2078" s="1466">
        <v>44135</v>
      </c>
      <c r="L2078" s="1467"/>
      <c r="M2078" s="1468">
        <v>0</v>
      </c>
      <c r="N2078" s="1469">
        <v>1.6117227655620914</v>
      </c>
      <c r="O2078" s="1469"/>
    </row>
    <row r="2079" spans="11:15">
      <c r="K2079" s="1466">
        <v>44136</v>
      </c>
      <c r="L2079" s="1467"/>
      <c r="M2079" s="1468">
        <v>0</v>
      </c>
      <c r="N2079" s="1469">
        <v>1.6117227655620914</v>
      </c>
      <c r="O2079" s="1469"/>
    </row>
    <row r="2080" spans="11:15">
      <c r="K2080" s="1466">
        <v>44137</v>
      </c>
      <c r="L2080" s="1467"/>
      <c r="M2080" s="1468">
        <v>0</v>
      </c>
      <c r="N2080" s="1469">
        <v>1.6117227655620914</v>
      </c>
      <c r="O2080" s="1469"/>
    </row>
    <row r="2081" spans="11:15">
      <c r="K2081" s="1466">
        <v>44138</v>
      </c>
      <c r="L2081" s="1467" t="s">
        <v>2127</v>
      </c>
      <c r="M2081" s="1468">
        <v>7.4689999999999999E-3</v>
      </c>
      <c r="N2081" s="1469">
        <v>1.6118431451354511</v>
      </c>
      <c r="O2081" s="1469"/>
    </row>
    <row r="2082" spans="11:15">
      <c r="K2082" s="1466">
        <v>44139</v>
      </c>
      <c r="L2082" s="1467" t="s">
        <v>2127</v>
      </c>
      <c r="M2082" s="1468">
        <v>7.4689999999999999E-3</v>
      </c>
      <c r="N2082" s="1469">
        <v>1.6119635336999611</v>
      </c>
      <c r="O2082" s="1469"/>
    </row>
    <row r="2083" spans="11:15">
      <c r="K2083" s="1466">
        <v>44140</v>
      </c>
      <c r="L2083" s="1467" t="s">
        <v>2127</v>
      </c>
      <c r="M2083" s="1468">
        <v>7.4689999999999999E-3</v>
      </c>
      <c r="N2083" s="1469">
        <v>1.6120839312562931</v>
      </c>
      <c r="O2083" s="1469"/>
    </row>
    <row r="2084" spans="11:15">
      <c r="K2084" s="1466">
        <v>44141</v>
      </c>
      <c r="L2084" s="1467" t="s">
        <v>2127</v>
      </c>
      <c r="M2084" s="1468">
        <v>7.4689999999999999E-3</v>
      </c>
      <c r="N2084" s="1469">
        <v>1.6122043378051185</v>
      </c>
      <c r="O2084" s="1469"/>
    </row>
    <row r="2085" spans="11:15">
      <c r="K2085" s="1466">
        <v>44142</v>
      </c>
      <c r="L2085" s="1467"/>
      <c r="M2085" s="1468">
        <v>0</v>
      </c>
      <c r="N2085" s="1469">
        <v>1.6122043378051185</v>
      </c>
      <c r="O2085" s="1469"/>
    </row>
    <row r="2086" spans="11:15">
      <c r="K2086" s="1466">
        <v>44143</v>
      </c>
      <c r="L2086" s="1467"/>
      <c r="M2086" s="1468">
        <v>0</v>
      </c>
      <c r="N2086" s="1469">
        <v>1.6122043378051185</v>
      </c>
      <c r="O2086" s="1469"/>
    </row>
    <row r="2087" spans="11:15">
      <c r="K2087" s="1466">
        <v>44144</v>
      </c>
      <c r="L2087" s="1467" t="s">
        <v>2127</v>
      </c>
      <c r="M2087" s="1468">
        <v>7.4689999999999999E-3</v>
      </c>
      <c r="N2087" s="1469">
        <v>1.612324753347109</v>
      </c>
      <c r="O2087" s="1469"/>
    </row>
    <row r="2088" spans="11:15">
      <c r="K2088" s="1466">
        <v>44145</v>
      </c>
      <c r="L2088" s="1467" t="s">
        <v>2127</v>
      </c>
      <c r="M2088" s="1468">
        <v>7.4689999999999999E-3</v>
      </c>
      <c r="N2088" s="1469">
        <v>1.6124451778829363</v>
      </c>
      <c r="O2088" s="1469"/>
    </row>
    <row r="2089" spans="11:15">
      <c r="K2089" s="1466">
        <v>44146</v>
      </c>
      <c r="L2089" s="1467" t="s">
        <v>2127</v>
      </c>
      <c r="M2089" s="1468">
        <v>7.4689999999999999E-3</v>
      </c>
      <c r="N2089" s="1469">
        <v>1.6125656114132723</v>
      </c>
      <c r="O2089" s="1469"/>
    </row>
    <row r="2090" spans="11:15">
      <c r="K2090" s="1466">
        <v>44147</v>
      </c>
      <c r="L2090" s="1467" t="s">
        <v>2127</v>
      </c>
      <c r="M2090" s="1468">
        <v>7.4689999999999999E-3</v>
      </c>
      <c r="N2090" s="1469">
        <v>1.6126860539387886</v>
      </c>
      <c r="O2090" s="1469"/>
    </row>
    <row r="2091" spans="11:15">
      <c r="K2091" s="1466">
        <v>44148</v>
      </c>
      <c r="L2091" s="1467" t="s">
        <v>2127</v>
      </c>
      <c r="M2091" s="1468">
        <v>7.4689999999999999E-3</v>
      </c>
      <c r="N2091" s="1469">
        <v>1.6128065054601572</v>
      </c>
      <c r="O2091" s="1469"/>
    </row>
    <row r="2092" spans="11:15">
      <c r="K2092" s="1466">
        <v>44149</v>
      </c>
      <c r="L2092" s="1467"/>
      <c r="M2092" s="1468">
        <v>0</v>
      </c>
      <c r="N2092" s="1469">
        <v>1.6128065054601572</v>
      </c>
      <c r="O2092" s="1469"/>
    </row>
    <row r="2093" spans="11:15">
      <c r="K2093" s="1466">
        <v>44150</v>
      </c>
      <c r="L2093" s="1467"/>
      <c r="M2093" s="1468">
        <v>0</v>
      </c>
      <c r="N2093" s="1469">
        <v>1.6128065054601572</v>
      </c>
      <c r="O2093" s="1469"/>
    </row>
    <row r="2094" spans="11:15">
      <c r="K2094" s="1466">
        <v>44151</v>
      </c>
      <c r="L2094" s="1467" t="s">
        <v>2127</v>
      </c>
      <c r="M2094" s="1468">
        <v>7.4689999999999999E-3</v>
      </c>
      <c r="N2094" s="1469">
        <v>1.6129269659780499</v>
      </c>
      <c r="O2094" s="1469"/>
    </row>
    <row r="2095" spans="11:15">
      <c r="K2095" s="1466">
        <v>44152</v>
      </c>
      <c r="L2095" s="1467" t="s">
        <v>2127</v>
      </c>
      <c r="M2095" s="1468">
        <v>7.4689999999999999E-3</v>
      </c>
      <c r="N2095" s="1469">
        <v>1.6130474354931386</v>
      </c>
      <c r="O2095" s="1469"/>
    </row>
    <row r="2096" spans="11:15">
      <c r="K2096" s="1466">
        <v>44153</v>
      </c>
      <c r="L2096" s="1467" t="s">
        <v>2127</v>
      </c>
      <c r="M2096" s="1468">
        <v>7.4689999999999999E-3</v>
      </c>
      <c r="N2096" s="1469">
        <v>1.6131679140060955</v>
      </c>
      <c r="O2096" s="1469"/>
    </row>
    <row r="2097" spans="11:15">
      <c r="K2097" s="1466">
        <v>44154</v>
      </c>
      <c r="L2097" s="1467" t="s">
        <v>2127</v>
      </c>
      <c r="M2097" s="1468">
        <v>7.4689999999999999E-3</v>
      </c>
      <c r="N2097" s="1469">
        <v>1.6132884015175926</v>
      </c>
      <c r="O2097" s="1469"/>
    </row>
    <row r="2098" spans="11:15">
      <c r="K2098" s="1466">
        <v>44155</v>
      </c>
      <c r="L2098" s="1467" t="s">
        <v>2127</v>
      </c>
      <c r="M2098" s="1468">
        <v>7.4689999999999999E-3</v>
      </c>
      <c r="N2098" s="1469">
        <v>1.6134088980283019</v>
      </c>
      <c r="O2098" s="1469"/>
    </row>
    <row r="2099" spans="11:15">
      <c r="K2099" s="1466">
        <v>44156</v>
      </c>
      <c r="L2099" s="1467"/>
      <c r="M2099" s="1468">
        <v>0</v>
      </c>
      <c r="N2099" s="1469">
        <v>1.6134088980283019</v>
      </c>
      <c r="O2099" s="1469"/>
    </row>
    <row r="2100" spans="11:15">
      <c r="K2100" s="1466">
        <v>44157</v>
      </c>
      <c r="L2100" s="1467"/>
      <c r="M2100" s="1468">
        <v>0</v>
      </c>
      <c r="N2100" s="1469">
        <v>1.6134088980283019</v>
      </c>
      <c r="O2100" s="1469"/>
    </row>
    <row r="2101" spans="11:15">
      <c r="K2101" s="1466">
        <v>44158</v>
      </c>
      <c r="L2101" s="1467" t="s">
        <v>2127</v>
      </c>
      <c r="M2101" s="1468">
        <v>7.4689999999999999E-3</v>
      </c>
      <c r="N2101" s="1469">
        <v>1.6135294035388956</v>
      </c>
      <c r="O2101" s="1469"/>
    </row>
    <row r="2102" spans="11:15">
      <c r="K2102" s="1466">
        <v>44159</v>
      </c>
      <c r="L2102" s="1467" t="s">
        <v>2127</v>
      </c>
      <c r="M2102" s="1468">
        <v>7.4689999999999999E-3</v>
      </c>
      <c r="N2102" s="1469">
        <v>1.6136499180500459</v>
      </c>
      <c r="O2102" s="1469"/>
    </row>
    <row r="2103" spans="11:15">
      <c r="K2103" s="1466">
        <v>44160</v>
      </c>
      <c r="L2103" s="1467" t="s">
        <v>2127</v>
      </c>
      <c r="M2103" s="1468">
        <v>7.4689999999999999E-3</v>
      </c>
      <c r="N2103" s="1469">
        <v>1.613770441562425</v>
      </c>
      <c r="O2103" s="1469"/>
    </row>
    <row r="2104" spans="11:15">
      <c r="K2104" s="1466">
        <v>44161</v>
      </c>
      <c r="L2104" s="1467" t="s">
        <v>2127</v>
      </c>
      <c r="M2104" s="1468">
        <v>7.4689999999999999E-3</v>
      </c>
      <c r="N2104" s="1469">
        <v>1.6138909740767051</v>
      </c>
      <c r="O2104" s="1469"/>
    </row>
    <row r="2105" spans="11:15">
      <c r="K2105" s="1466">
        <v>44162</v>
      </c>
      <c r="L2105" s="1467" t="s">
        <v>2127</v>
      </c>
      <c r="M2105" s="1468">
        <v>7.4689999999999999E-3</v>
      </c>
      <c r="N2105" s="1469">
        <v>1.6140115155935588</v>
      </c>
      <c r="O2105" s="1469"/>
    </row>
    <row r="2106" spans="11:15">
      <c r="K2106" s="1466">
        <v>44163</v>
      </c>
      <c r="L2106" s="1467"/>
      <c r="M2106" s="1468">
        <v>0</v>
      </c>
      <c r="N2106" s="1469">
        <v>1.6140115155935588</v>
      </c>
      <c r="O2106" s="1469"/>
    </row>
    <row r="2107" spans="11:15">
      <c r="K2107" s="1466">
        <v>44164</v>
      </c>
      <c r="L2107" s="1467"/>
      <c r="M2107" s="1468">
        <v>0</v>
      </c>
      <c r="N2107" s="1469">
        <v>1.6140115155935588</v>
      </c>
      <c r="O2107" s="1469"/>
    </row>
    <row r="2108" spans="11:15">
      <c r="K2108" s="1466">
        <v>44165</v>
      </c>
      <c r="L2108" s="1467" t="s">
        <v>2127</v>
      </c>
      <c r="M2108" s="1468">
        <v>7.4689999999999999E-3</v>
      </c>
      <c r="N2108" s="1469">
        <v>1.6141320661136584</v>
      </c>
      <c r="O2108" s="1469"/>
    </row>
    <row r="2109" spans="11:15">
      <c r="K2109" s="1466">
        <v>44166</v>
      </c>
      <c r="L2109" s="1467" t="s">
        <v>2127</v>
      </c>
      <c r="M2109" s="1468">
        <v>7.4689999999999999E-3</v>
      </c>
      <c r="N2109" s="1469">
        <v>1.6142526256376764</v>
      </c>
      <c r="O2109" s="1469"/>
    </row>
    <row r="2110" spans="11:15">
      <c r="K2110" s="1466">
        <v>44167</v>
      </c>
      <c r="L2110" s="1467" t="s">
        <v>2127</v>
      </c>
      <c r="M2110" s="1468">
        <v>7.4689999999999999E-3</v>
      </c>
      <c r="N2110" s="1469">
        <v>1.6143731941662851</v>
      </c>
      <c r="O2110" s="1469"/>
    </row>
    <row r="2111" spans="11:15">
      <c r="K2111" s="1466">
        <v>44168</v>
      </c>
      <c r="L2111" s="1467" t="s">
        <v>2127</v>
      </c>
      <c r="M2111" s="1468">
        <v>7.4689999999999999E-3</v>
      </c>
      <c r="N2111" s="1469">
        <v>1.6144937717001573</v>
      </c>
      <c r="O2111" s="1469"/>
    </row>
    <row r="2112" spans="11:15">
      <c r="K2112" s="1466">
        <v>44169</v>
      </c>
      <c r="L2112" s="1467" t="s">
        <v>2127</v>
      </c>
      <c r="M2112" s="1468">
        <v>7.4689999999999999E-3</v>
      </c>
      <c r="N2112" s="1469">
        <v>1.6146143582399655</v>
      </c>
      <c r="O2112" s="1469"/>
    </row>
    <row r="2113" spans="11:15">
      <c r="K2113" s="1466">
        <v>44170</v>
      </c>
      <c r="L2113" s="1467"/>
      <c r="M2113" s="1468">
        <v>0</v>
      </c>
      <c r="N2113" s="1469">
        <v>1.6146143582399655</v>
      </c>
      <c r="O2113" s="1469"/>
    </row>
    <row r="2114" spans="11:15">
      <c r="K2114" s="1466">
        <v>44171</v>
      </c>
      <c r="L2114" s="1467"/>
      <c r="M2114" s="1468">
        <v>0</v>
      </c>
      <c r="N2114" s="1469">
        <v>1.6146143582399655</v>
      </c>
      <c r="O2114" s="1469"/>
    </row>
    <row r="2115" spans="11:15">
      <c r="K2115" s="1466">
        <v>44172</v>
      </c>
      <c r="L2115" s="1467" t="s">
        <v>2127</v>
      </c>
      <c r="M2115" s="1468">
        <v>7.4689999999999999E-3</v>
      </c>
      <c r="N2115" s="1469">
        <v>1.6147349537863822</v>
      </c>
      <c r="O2115" s="1469"/>
    </row>
    <row r="2116" spans="11:15">
      <c r="K2116" s="1466">
        <v>44173</v>
      </c>
      <c r="L2116" s="1467" t="s">
        <v>2127</v>
      </c>
      <c r="M2116" s="1468">
        <v>7.4689999999999999E-3</v>
      </c>
      <c r="N2116" s="1469">
        <v>1.6148555583400803</v>
      </c>
      <c r="O2116" s="1469"/>
    </row>
    <row r="2117" spans="11:15">
      <c r="K2117" s="1466">
        <v>44174</v>
      </c>
      <c r="L2117" s="1467" t="s">
        <v>2127</v>
      </c>
      <c r="M2117" s="1468">
        <v>7.4689999999999999E-3</v>
      </c>
      <c r="N2117" s="1469">
        <v>1.6149761719017326</v>
      </c>
      <c r="O2117" s="1469"/>
    </row>
    <row r="2118" spans="11:15">
      <c r="K2118" s="1466">
        <v>44175</v>
      </c>
      <c r="L2118" s="1467" t="s">
        <v>2127</v>
      </c>
      <c r="M2118" s="1468">
        <v>7.4689999999999999E-3</v>
      </c>
      <c r="N2118" s="1469">
        <v>1.6150967944720118</v>
      </c>
      <c r="O2118" s="1469"/>
    </row>
    <row r="2119" spans="11:15">
      <c r="K2119" s="1466">
        <v>44176</v>
      </c>
      <c r="L2119" s="1467" t="s">
        <v>2127</v>
      </c>
      <c r="M2119" s="1468">
        <v>7.4689999999999999E-3</v>
      </c>
      <c r="N2119" s="1469">
        <v>1.6152174260515908</v>
      </c>
      <c r="O2119" s="1469"/>
    </row>
    <row r="2120" spans="11:15">
      <c r="K2120" s="1466">
        <v>44177</v>
      </c>
      <c r="L2120" s="1467"/>
      <c r="M2120" s="1468">
        <v>0</v>
      </c>
      <c r="N2120" s="1469">
        <v>1.6152174260515908</v>
      </c>
      <c r="O2120" s="1469"/>
    </row>
    <row r="2121" spans="11:15">
      <c r="K2121" s="1466">
        <v>44178</v>
      </c>
      <c r="L2121" s="1467"/>
      <c r="M2121" s="1468">
        <v>0</v>
      </c>
      <c r="N2121" s="1469">
        <v>1.6152174260515908</v>
      </c>
      <c r="O2121" s="1469"/>
    </row>
    <row r="2122" spans="11:15">
      <c r="K2122" s="1466">
        <v>44179</v>
      </c>
      <c r="L2122" s="1467" t="s">
        <v>2127</v>
      </c>
      <c r="M2122" s="1468">
        <v>7.4689999999999999E-3</v>
      </c>
      <c r="N2122" s="1469">
        <v>1.6153380666411425</v>
      </c>
      <c r="O2122" s="1469"/>
    </row>
    <row r="2123" spans="11:15">
      <c r="K2123" s="1466">
        <v>44180</v>
      </c>
      <c r="L2123" s="1467" t="s">
        <v>2127</v>
      </c>
      <c r="M2123" s="1468">
        <v>7.4689999999999999E-3</v>
      </c>
      <c r="N2123" s="1469">
        <v>1.6154587162413399</v>
      </c>
      <c r="O2123" s="1469"/>
    </row>
    <row r="2124" spans="11:15">
      <c r="K2124" s="1466">
        <v>44181</v>
      </c>
      <c r="L2124" s="1467" t="s">
        <v>2127</v>
      </c>
      <c r="M2124" s="1468">
        <v>7.4689999999999999E-3</v>
      </c>
      <c r="N2124" s="1469">
        <v>1.6155793748528557</v>
      </c>
      <c r="O2124" s="1469"/>
    </row>
    <row r="2125" spans="11:15">
      <c r="K2125" s="1466">
        <v>44182</v>
      </c>
      <c r="L2125" s="1467" t="s">
        <v>2127</v>
      </c>
      <c r="M2125" s="1468">
        <v>7.4689999999999999E-3</v>
      </c>
      <c r="N2125" s="1469">
        <v>1.6157000424763635</v>
      </c>
      <c r="O2125" s="1469"/>
    </row>
    <row r="2126" spans="11:15">
      <c r="K2126" s="1466">
        <v>44183</v>
      </c>
      <c r="L2126" s="1467" t="s">
        <v>2127</v>
      </c>
      <c r="M2126" s="1468">
        <v>7.4689999999999999E-3</v>
      </c>
      <c r="N2126" s="1469">
        <v>1.615820719112536</v>
      </c>
      <c r="O2126" s="1469"/>
    </row>
    <row r="2127" spans="11:15">
      <c r="K2127" s="1466">
        <v>44184</v>
      </c>
      <c r="L2127" s="1467"/>
      <c r="M2127" s="1468">
        <v>0</v>
      </c>
      <c r="N2127" s="1469">
        <v>1.615820719112536</v>
      </c>
      <c r="O2127" s="1469"/>
    </row>
    <row r="2128" spans="11:15">
      <c r="K2128" s="1466">
        <v>44185</v>
      </c>
      <c r="L2128" s="1467"/>
      <c r="M2128" s="1468">
        <v>0</v>
      </c>
      <c r="N2128" s="1469">
        <v>1.615820719112536</v>
      </c>
      <c r="O2128" s="1469"/>
    </row>
    <row r="2129" spans="11:15">
      <c r="K2129" s="1466">
        <v>44186</v>
      </c>
      <c r="L2129" s="1467" t="s">
        <v>2127</v>
      </c>
      <c r="M2129" s="1468">
        <v>7.4689999999999999E-3</v>
      </c>
      <c r="N2129" s="1469">
        <v>1.6159414047620464</v>
      </c>
      <c r="O2129" s="1469"/>
    </row>
    <row r="2130" spans="11:15">
      <c r="K2130" s="1466">
        <v>44187</v>
      </c>
      <c r="L2130" s="1467" t="s">
        <v>2127</v>
      </c>
      <c r="M2130" s="1468">
        <v>7.4689999999999999E-3</v>
      </c>
      <c r="N2130" s="1469">
        <v>1.6160620994255679</v>
      </c>
      <c r="O2130" s="1469"/>
    </row>
    <row r="2131" spans="11:15">
      <c r="K2131" s="1466">
        <v>44188</v>
      </c>
      <c r="L2131" s="1467" t="s">
        <v>2127</v>
      </c>
      <c r="M2131" s="1468">
        <v>7.4689999999999999E-3</v>
      </c>
      <c r="N2131" s="1469">
        <v>1.6161828031037739</v>
      </c>
      <c r="O2131" s="1469"/>
    </row>
    <row r="2132" spans="11:15">
      <c r="K2132" s="1466">
        <v>44189</v>
      </c>
      <c r="L2132" s="1467" t="s">
        <v>2127</v>
      </c>
      <c r="M2132" s="1468">
        <v>7.4689999999999999E-3</v>
      </c>
      <c r="N2132" s="1469">
        <v>1.6163035157973376</v>
      </c>
      <c r="O2132" s="1469"/>
    </row>
    <row r="2133" spans="11:15">
      <c r="K2133" s="1466">
        <v>44190</v>
      </c>
      <c r="L2133" s="1467"/>
      <c r="M2133" s="1468">
        <v>0</v>
      </c>
      <c r="N2133" s="1469">
        <v>1.6163035157973376</v>
      </c>
      <c r="O2133" s="1469"/>
    </row>
    <row r="2134" spans="11:15">
      <c r="K2134" s="1466">
        <v>44191</v>
      </c>
      <c r="L2134" s="1467"/>
      <c r="M2134" s="1468">
        <v>0</v>
      </c>
      <c r="N2134" s="1469">
        <v>1.6163035157973376</v>
      </c>
      <c r="O2134" s="1469"/>
    </row>
    <row r="2135" spans="11:15">
      <c r="K2135" s="1466">
        <v>44192</v>
      </c>
      <c r="L2135" s="1467"/>
      <c r="M2135" s="1468">
        <v>0</v>
      </c>
      <c r="N2135" s="1469">
        <v>1.6163035157973376</v>
      </c>
      <c r="O2135" s="1469"/>
    </row>
    <row r="2136" spans="11:15">
      <c r="K2136" s="1466">
        <v>44193</v>
      </c>
      <c r="L2136" s="1467" t="s">
        <v>2127</v>
      </c>
      <c r="M2136" s="1468">
        <v>7.4689999999999999E-3</v>
      </c>
      <c r="N2136" s="1469">
        <v>1.6164242375069324</v>
      </c>
      <c r="O2136" s="1469"/>
    </row>
    <row r="2137" spans="11:15">
      <c r="K2137" s="1466">
        <v>44194</v>
      </c>
      <c r="L2137" s="1467" t="s">
        <v>2127</v>
      </c>
      <c r="M2137" s="1468">
        <v>7.4689999999999999E-3</v>
      </c>
      <c r="N2137" s="1469">
        <v>1.6165449682332318</v>
      </c>
      <c r="O2137" s="1469"/>
    </row>
    <row r="2138" spans="11:15">
      <c r="K2138" s="1466">
        <v>44195</v>
      </c>
      <c r="L2138" s="1467" t="s">
        <v>2127</v>
      </c>
      <c r="M2138" s="1468">
        <v>7.4689999999999999E-3</v>
      </c>
      <c r="N2138" s="1469">
        <v>1.6166657079769091</v>
      </c>
      <c r="O2138" s="1469"/>
    </row>
    <row r="2139" spans="11:15">
      <c r="K2139" s="1466">
        <v>44196</v>
      </c>
      <c r="L2139" s="1467" t="s">
        <v>2127</v>
      </c>
      <c r="M2139" s="1468">
        <v>7.4689999999999999E-3</v>
      </c>
      <c r="N2139" s="1469">
        <v>1.6167864567386379</v>
      </c>
      <c r="O2139" s="1469"/>
    </row>
    <row r="2140" spans="11:15">
      <c r="K2140" s="1466">
        <v>44197</v>
      </c>
      <c r="L2140" s="1467"/>
      <c r="M2140" s="1468">
        <v>0</v>
      </c>
      <c r="N2140" s="1469">
        <v>1.6167864567386379</v>
      </c>
      <c r="O2140" s="1469"/>
    </row>
    <row r="2141" spans="11:15">
      <c r="K2141" s="1466">
        <v>44198</v>
      </c>
      <c r="L2141" s="1467"/>
      <c r="M2141" s="1468">
        <v>0</v>
      </c>
      <c r="N2141" s="1469">
        <v>1.6167864567386379</v>
      </c>
      <c r="O2141" s="1469"/>
    </row>
    <row r="2142" spans="11:15">
      <c r="K2142" s="1466">
        <v>44199</v>
      </c>
      <c r="L2142" s="1467"/>
      <c r="M2142" s="1468">
        <v>0</v>
      </c>
      <c r="N2142" s="1469">
        <v>1.6167864567386379</v>
      </c>
      <c r="O2142" s="1469"/>
    </row>
    <row r="2143" spans="11:15">
      <c r="K2143" s="1466">
        <v>44200</v>
      </c>
      <c r="L2143" s="1467" t="s">
        <v>2127</v>
      </c>
      <c r="M2143" s="1468">
        <v>7.4689999999999999E-3</v>
      </c>
      <c r="N2143" s="1469">
        <v>1.6169072145190915</v>
      </c>
      <c r="O2143" s="1469"/>
    </row>
    <row r="2144" spans="11:15">
      <c r="K2144" s="1466">
        <v>44201</v>
      </c>
      <c r="L2144" s="1467" t="s">
        <v>2127</v>
      </c>
      <c r="M2144" s="1468">
        <v>7.4689999999999999E-3</v>
      </c>
      <c r="N2144" s="1469">
        <v>1.6170279813189439</v>
      </c>
      <c r="O2144" s="1469"/>
    </row>
    <row r="2145" spans="11:15">
      <c r="K2145" s="1466">
        <v>44202</v>
      </c>
      <c r="L2145" s="1467" t="s">
        <v>2127</v>
      </c>
      <c r="M2145" s="1468">
        <v>7.4689999999999999E-3</v>
      </c>
      <c r="N2145" s="1469">
        <v>1.6171487571388685</v>
      </c>
      <c r="O2145" s="1469"/>
    </row>
    <row r="2146" spans="11:15">
      <c r="K2146" s="1466">
        <v>44203</v>
      </c>
      <c r="L2146" s="1467" t="s">
        <v>2127</v>
      </c>
      <c r="M2146" s="1468">
        <v>7.4689999999999999E-3</v>
      </c>
      <c r="N2146" s="1469">
        <v>1.6172695419795391</v>
      </c>
      <c r="O2146" s="1469"/>
    </row>
    <row r="2147" spans="11:15">
      <c r="K2147" s="1466">
        <v>44204</v>
      </c>
      <c r="L2147" s="1467" t="s">
        <v>2127</v>
      </c>
      <c r="M2147" s="1468">
        <v>7.4689999999999999E-3</v>
      </c>
      <c r="N2147" s="1469">
        <v>1.6173903358416295</v>
      </c>
      <c r="O2147" s="1469"/>
    </row>
    <row r="2148" spans="11:15">
      <c r="K2148" s="1466">
        <v>44205</v>
      </c>
      <c r="L2148" s="1467"/>
      <c r="M2148" s="1468">
        <v>0</v>
      </c>
      <c r="N2148" s="1469">
        <v>1.6173903358416295</v>
      </c>
      <c r="O2148" s="1469"/>
    </row>
    <row r="2149" spans="11:15">
      <c r="K2149" s="1466">
        <v>44206</v>
      </c>
      <c r="L2149" s="1467"/>
      <c r="M2149" s="1468">
        <v>0</v>
      </c>
      <c r="N2149" s="1469">
        <v>1.6173903358416295</v>
      </c>
      <c r="O2149" s="1469"/>
    </row>
    <row r="2150" spans="11:15">
      <c r="K2150" s="1466">
        <v>44207</v>
      </c>
      <c r="L2150" s="1467" t="s">
        <v>2127</v>
      </c>
      <c r="M2150" s="1468">
        <v>7.4689999999999999E-3</v>
      </c>
      <c r="N2150" s="1469">
        <v>1.6175111387258134</v>
      </c>
      <c r="O2150" s="1469"/>
    </row>
    <row r="2151" spans="11:15">
      <c r="K2151" s="1466">
        <v>44208</v>
      </c>
      <c r="L2151" s="1467" t="s">
        <v>2127</v>
      </c>
      <c r="M2151" s="1468">
        <v>7.4689999999999999E-3</v>
      </c>
      <c r="N2151" s="1469">
        <v>1.6176319506327648</v>
      </c>
      <c r="O2151" s="1469"/>
    </row>
    <row r="2152" spans="11:15">
      <c r="K2152" s="1466">
        <v>44209</v>
      </c>
      <c r="L2152" s="1467" t="s">
        <v>2127</v>
      </c>
      <c r="M2152" s="1468">
        <v>7.4689999999999999E-3</v>
      </c>
      <c r="N2152" s="1469">
        <v>1.6177527715631574</v>
      </c>
      <c r="O2152" s="1469"/>
    </row>
    <row r="2153" spans="11:15">
      <c r="K2153" s="1466">
        <v>44210</v>
      </c>
      <c r="L2153" s="1467" t="s">
        <v>2127</v>
      </c>
      <c r="M2153" s="1468">
        <v>7.4689999999999999E-3</v>
      </c>
      <c r="N2153" s="1469">
        <v>1.6178736015176653</v>
      </c>
      <c r="O2153" s="1469"/>
    </row>
    <row r="2154" spans="11:15">
      <c r="K2154" s="1466">
        <v>44211</v>
      </c>
      <c r="L2154" s="1467" t="s">
        <v>2127</v>
      </c>
      <c r="M2154" s="1468">
        <v>7.4689999999999999E-3</v>
      </c>
      <c r="N2154" s="1469">
        <v>1.6179944404969626</v>
      </c>
      <c r="O2154" s="1469"/>
    </row>
    <row r="2155" spans="11:15">
      <c r="K2155" s="1466">
        <v>44212</v>
      </c>
      <c r="L2155" s="1467"/>
      <c r="M2155" s="1468">
        <v>0</v>
      </c>
      <c r="N2155" s="1469">
        <v>1.6179944404969626</v>
      </c>
      <c r="O2155" s="1469"/>
    </row>
    <row r="2156" spans="11:15">
      <c r="K2156" s="1466">
        <v>44213</v>
      </c>
      <c r="L2156" s="1467"/>
      <c r="M2156" s="1468">
        <v>0</v>
      </c>
      <c r="N2156" s="1469">
        <v>1.6179944404969626</v>
      </c>
      <c r="O2156" s="1469"/>
    </row>
    <row r="2157" spans="11:15">
      <c r="K2157" s="1466">
        <v>44214</v>
      </c>
      <c r="L2157" s="1467" t="s">
        <v>2127</v>
      </c>
      <c r="M2157" s="1468">
        <v>7.4689999999999999E-3</v>
      </c>
      <c r="N2157" s="1469">
        <v>1.6181152885017231</v>
      </c>
      <c r="O2157" s="1469"/>
    </row>
    <row r="2158" spans="11:15">
      <c r="K2158" s="1466">
        <v>44215</v>
      </c>
      <c r="L2158" s="1467" t="s">
        <v>2127</v>
      </c>
      <c r="M2158" s="1468">
        <v>7.4689999999999999E-3</v>
      </c>
      <c r="N2158" s="1469">
        <v>1.6182361455326213</v>
      </c>
      <c r="O2158" s="1469"/>
    </row>
    <row r="2159" spans="11:15">
      <c r="K2159" s="1466">
        <v>44216</v>
      </c>
      <c r="L2159" s="1467" t="s">
        <v>2127</v>
      </c>
      <c r="M2159" s="1468">
        <v>7.4689999999999999E-3</v>
      </c>
      <c r="N2159" s="1469">
        <v>1.618357011590331</v>
      </c>
      <c r="O2159" s="1469"/>
    </row>
    <row r="2160" spans="11:15">
      <c r="K2160" s="1466">
        <v>44217</v>
      </c>
      <c r="L2160" s="1467" t="s">
        <v>2127</v>
      </c>
      <c r="M2160" s="1468">
        <v>7.4689999999999999E-3</v>
      </c>
      <c r="N2160" s="1469">
        <v>1.6184778866755265</v>
      </c>
      <c r="O2160" s="1469"/>
    </row>
    <row r="2161" spans="11:15">
      <c r="K2161" s="1466">
        <v>44218</v>
      </c>
      <c r="L2161" s="1467" t="s">
        <v>2127</v>
      </c>
      <c r="M2161" s="1468">
        <v>7.4689999999999999E-3</v>
      </c>
      <c r="N2161" s="1469">
        <v>1.6185987707888823</v>
      </c>
      <c r="O2161" s="1469"/>
    </row>
    <row r="2162" spans="11:15">
      <c r="K2162" s="1466">
        <v>44219</v>
      </c>
      <c r="L2162" s="1467"/>
      <c r="M2162" s="1468">
        <v>0</v>
      </c>
      <c r="N2162" s="1469">
        <v>1.6185987707888823</v>
      </c>
      <c r="O2162" s="1469"/>
    </row>
    <row r="2163" spans="11:15">
      <c r="K2163" s="1466">
        <v>44220</v>
      </c>
      <c r="L2163" s="1467"/>
      <c r="M2163" s="1468">
        <v>0</v>
      </c>
      <c r="N2163" s="1469">
        <v>1.6185987707888823</v>
      </c>
      <c r="O2163" s="1469"/>
    </row>
    <row r="2164" spans="11:15">
      <c r="K2164" s="1466">
        <v>44221</v>
      </c>
      <c r="L2164" s="1467" t="s">
        <v>2127</v>
      </c>
      <c r="M2164" s="1468">
        <v>7.4689999999999999E-3</v>
      </c>
      <c r="N2164" s="1469">
        <v>1.6187196639310724</v>
      </c>
      <c r="O2164" s="1469"/>
    </row>
    <row r="2165" spans="11:15">
      <c r="K2165" s="1466">
        <v>44222</v>
      </c>
      <c r="L2165" s="1467" t="s">
        <v>2127</v>
      </c>
      <c r="M2165" s="1468">
        <v>7.4689999999999999E-3</v>
      </c>
      <c r="N2165" s="1469">
        <v>1.6188405661027712</v>
      </c>
      <c r="O2165" s="1469"/>
    </row>
    <row r="2166" spans="11:15">
      <c r="K2166" s="1466">
        <v>44223</v>
      </c>
      <c r="L2166" s="1467" t="s">
        <v>2127</v>
      </c>
      <c r="M2166" s="1468">
        <v>7.4689999999999999E-3</v>
      </c>
      <c r="N2166" s="1469">
        <v>1.6189614773046532</v>
      </c>
      <c r="O2166" s="1469"/>
    </row>
    <row r="2167" spans="11:15">
      <c r="K2167" s="1466">
        <v>44224</v>
      </c>
      <c r="L2167" s="1467" t="s">
        <v>2127</v>
      </c>
      <c r="M2167" s="1468">
        <v>7.4689999999999999E-3</v>
      </c>
      <c r="N2167" s="1469">
        <v>1.6190823975373929</v>
      </c>
      <c r="O2167" s="1469"/>
    </row>
    <row r="2168" spans="11:15">
      <c r="K2168" s="1466">
        <v>44225</v>
      </c>
      <c r="L2168" s="1467" t="s">
        <v>2127</v>
      </c>
      <c r="M2168" s="1468">
        <v>7.4689999999999999E-3</v>
      </c>
      <c r="N2168" s="1469">
        <v>1.6192033268016648</v>
      </c>
      <c r="O2168" s="1469"/>
    </row>
    <row r="2169" spans="11:15">
      <c r="K2169" s="1466">
        <v>44226</v>
      </c>
      <c r="L2169" s="1467"/>
      <c r="M2169" s="1468">
        <v>0</v>
      </c>
      <c r="N2169" s="1469">
        <v>1.6192033268016648</v>
      </c>
      <c r="O2169" s="1469"/>
    </row>
    <row r="2170" spans="11:15">
      <c r="K2170" s="1466">
        <v>44227</v>
      </c>
      <c r="L2170" s="1467"/>
      <c r="M2170" s="1468">
        <v>0</v>
      </c>
      <c r="N2170" s="1469">
        <v>1.6192033268016648</v>
      </c>
      <c r="O2170" s="1469"/>
    </row>
    <row r="2171" spans="11:15">
      <c r="K2171" s="1466">
        <v>44228</v>
      </c>
      <c r="L2171" s="1467" t="s">
        <v>2127</v>
      </c>
      <c r="M2171" s="1468">
        <v>7.4689999999999999E-3</v>
      </c>
      <c r="N2171" s="1469">
        <v>1.6193242650981434</v>
      </c>
      <c r="O2171" s="1469"/>
    </row>
    <row r="2172" spans="11:15">
      <c r="K2172" s="1466">
        <v>44229</v>
      </c>
      <c r="L2172" s="1467" t="s">
        <v>2127</v>
      </c>
      <c r="M2172" s="1468">
        <v>7.4689999999999999E-3</v>
      </c>
      <c r="N2172" s="1469">
        <v>1.6194452124275034</v>
      </c>
      <c r="O2172" s="1469"/>
    </row>
    <row r="2173" spans="11:15">
      <c r="K2173" s="1466">
        <v>44230</v>
      </c>
      <c r="L2173" s="1467" t="s">
        <v>2127</v>
      </c>
      <c r="M2173" s="1468">
        <v>7.4689999999999999E-3</v>
      </c>
      <c r="N2173" s="1469">
        <v>1.6195661687904195</v>
      </c>
      <c r="O2173" s="1469"/>
    </row>
    <row r="2174" spans="11:15">
      <c r="K2174" s="1466">
        <v>44231</v>
      </c>
      <c r="L2174" s="1467" t="s">
        <v>2127</v>
      </c>
      <c r="M2174" s="1468">
        <v>7.4689999999999999E-3</v>
      </c>
      <c r="N2174" s="1469">
        <v>1.6196871341875663</v>
      </c>
      <c r="O2174" s="1469"/>
    </row>
    <row r="2175" spans="11:15">
      <c r="K2175" s="1466">
        <v>44232</v>
      </c>
      <c r="L2175" s="1467" t="s">
        <v>2127</v>
      </c>
      <c r="M2175" s="1468">
        <v>7.4689999999999999E-3</v>
      </c>
      <c r="N2175" s="1469">
        <v>1.6198081086196185</v>
      </c>
      <c r="O2175" s="1469"/>
    </row>
    <row r="2176" spans="11:15">
      <c r="K2176" s="1466">
        <v>44233</v>
      </c>
      <c r="L2176" s="1467"/>
      <c r="M2176" s="1468">
        <v>0</v>
      </c>
      <c r="N2176" s="1469">
        <v>1.6198081086196185</v>
      </c>
      <c r="O2176" s="1469"/>
    </row>
    <row r="2177" spans="11:15">
      <c r="K2177" s="1466">
        <v>44234</v>
      </c>
      <c r="L2177" s="1467"/>
      <c r="M2177" s="1468">
        <v>0</v>
      </c>
      <c r="N2177" s="1469">
        <v>1.6198081086196185</v>
      </c>
      <c r="O2177" s="1469"/>
    </row>
    <row r="2178" spans="11:15">
      <c r="K2178" s="1466">
        <v>44235</v>
      </c>
      <c r="L2178" s="1467" t="s">
        <v>2127</v>
      </c>
      <c r="M2178" s="1468">
        <v>7.4689999999999999E-3</v>
      </c>
      <c r="N2178" s="1469">
        <v>1.6199290920872513</v>
      </c>
      <c r="O2178" s="1469"/>
    </row>
    <row r="2179" spans="11:15">
      <c r="K2179" s="1466">
        <v>44236</v>
      </c>
      <c r="L2179" s="1467" t="s">
        <v>2127</v>
      </c>
      <c r="M2179" s="1468">
        <v>7.4689999999999999E-3</v>
      </c>
      <c r="N2179" s="1469">
        <v>1.6200500845911392</v>
      </c>
      <c r="O2179" s="1469"/>
    </row>
    <row r="2180" spans="11:15">
      <c r="K2180" s="1466">
        <v>44237</v>
      </c>
      <c r="L2180" s="1467" t="s">
        <v>2127</v>
      </c>
      <c r="M2180" s="1468">
        <v>7.4689999999999999E-3</v>
      </c>
      <c r="N2180" s="1469">
        <v>1.6201710861319571</v>
      </c>
      <c r="O2180" s="1469"/>
    </row>
    <row r="2181" spans="11:15">
      <c r="K2181" s="1466">
        <v>44238</v>
      </c>
      <c r="L2181" s="1467" t="s">
        <v>2127</v>
      </c>
      <c r="M2181" s="1468">
        <v>7.4689999999999999E-3</v>
      </c>
      <c r="N2181" s="1469">
        <v>1.6202920967103802</v>
      </c>
      <c r="O2181" s="1469"/>
    </row>
    <row r="2182" spans="11:15">
      <c r="K2182" s="1466">
        <v>44239</v>
      </c>
      <c r="L2182" s="1467" t="s">
        <v>2127</v>
      </c>
      <c r="M2182" s="1468">
        <v>7.4689999999999999E-3</v>
      </c>
      <c r="N2182" s="1469">
        <v>1.6204131163270834</v>
      </c>
      <c r="O2182" s="1469"/>
    </row>
    <row r="2183" spans="11:15">
      <c r="K2183" s="1466">
        <v>44240</v>
      </c>
      <c r="L2183" s="1467"/>
      <c r="M2183" s="1468">
        <v>0</v>
      </c>
      <c r="N2183" s="1469">
        <v>1.6204131163270834</v>
      </c>
      <c r="O2183" s="1469"/>
    </row>
    <row r="2184" spans="11:15">
      <c r="K2184" s="1466">
        <v>44241</v>
      </c>
      <c r="L2184" s="1467"/>
      <c r="M2184" s="1468">
        <v>0</v>
      </c>
      <c r="N2184" s="1469">
        <v>1.6204131163270834</v>
      </c>
      <c r="O2184" s="1469"/>
    </row>
    <row r="2185" spans="11:15">
      <c r="K2185" s="1466">
        <v>44242</v>
      </c>
      <c r="L2185" s="1467"/>
      <c r="M2185" s="1468">
        <v>0</v>
      </c>
      <c r="N2185" s="1469">
        <v>1.6204131163270834</v>
      </c>
      <c r="O2185" s="1469"/>
    </row>
    <row r="2186" spans="11:15">
      <c r="K2186" s="1466">
        <v>44243</v>
      </c>
      <c r="L2186" s="1467"/>
      <c r="M2186" s="1468">
        <v>0</v>
      </c>
      <c r="N2186" s="1469">
        <v>1.6204131163270834</v>
      </c>
      <c r="O2186" s="1469"/>
    </row>
    <row r="2187" spans="11:15">
      <c r="K2187" s="1466">
        <v>44244</v>
      </c>
      <c r="L2187" s="1467" t="s">
        <v>2127</v>
      </c>
      <c r="M2187" s="1468">
        <v>7.4689999999999999E-3</v>
      </c>
      <c r="N2187" s="1469">
        <v>1.6205341449827417</v>
      </c>
      <c r="O2187" s="1469"/>
    </row>
    <row r="2188" spans="11:15">
      <c r="K2188" s="1466">
        <v>44245</v>
      </c>
      <c r="L2188" s="1467" t="s">
        <v>2127</v>
      </c>
      <c r="M2188" s="1468">
        <v>7.4689999999999999E-3</v>
      </c>
      <c r="N2188" s="1469">
        <v>1.6206551826780304</v>
      </c>
      <c r="O2188" s="1469"/>
    </row>
    <row r="2189" spans="11:15">
      <c r="K2189" s="1466">
        <v>44246</v>
      </c>
      <c r="L2189" s="1467" t="s">
        <v>2127</v>
      </c>
      <c r="M2189" s="1468">
        <v>7.4689999999999999E-3</v>
      </c>
      <c r="N2189" s="1469">
        <v>1.6207762294136245</v>
      </c>
      <c r="O2189" s="1469"/>
    </row>
    <row r="2190" spans="11:15">
      <c r="K2190" s="1466">
        <v>44247</v>
      </c>
      <c r="L2190" s="1467"/>
      <c r="M2190" s="1468">
        <v>0</v>
      </c>
      <c r="N2190" s="1469">
        <v>1.6207762294136245</v>
      </c>
      <c r="O2190" s="1469"/>
    </row>
    <row r="2191" spans="11:15">
      <c r="K2191" s="1466">
        <v>44248</v>
      </c>
      <c r="L2191" s="1467"/>
      <c r="M2191" s="1468">
        <v>0</v>
      </c>
      <c r="N2191" s="1469">
        <v>1.6207762294136245</v>
      </c>
      <c r="O2191" s="1469"/>
    </row>
    <row r="2192" spans="11:15">
      <c r="K2192" s="1466">
        <v>44249</v>
      </c>
      <c r="L2192" s="1467" t="s">
        <v>2127</v>
      </c>
      <c r="M2192" s="1468">
        <v>7.4689999999999999E-3</v>
      </c>
      <c r="N2192" s="1469">
        <v>1.6208972851901993</v>
      </c>
      <c r="O2192" s="1469"/>
    </row>
    <row r="2193" spans="11:15">
      <c r="K2193" s="1466">
        <v>44250</v>
      </c>
      <c r="L2193" s="1467" t="s">
        <v>2127</v>
      </c>
      <c r="M2193" s="1468">
        <v>7.4689999999999999E-3</v>
      </c>
      <c r="N2193" s="1469">
        <v>1.6210183500084301</v>
      </c>
      <c r="O2193" s="1469"/>
    </row>
    <row r="2194" spans="11:15">
      <c r="K2194" s="1466">
        <v>44251</v>
      </c>
      <c r="L2194" s="1467" t="s">
        <v>2127</v>
      </c>
      <c r="M2194" s="1468">
        <v>7.4689999999999999E-3</v>
      </c>
      <c r="N2194" s="1469">
        <v>1.621139423868992</v>
      </c>
      <c r="O2194" s="1469"/>
    </row>
    <row r="2195" spans="11:15">
      <c r="K2195" s="1466">
        <v>44252</v>
      </c>
      <c r="L2195" s="1467" t="s">
        <v>2127</v>
      </c>
      <c r="M2195" s="1468">
        <v>7.4689999999999999E-3</v>
      </c>
      <c r="N2195" s="1469">
        <v>1.6212605067725607</v>
      </c>
      <c r="O2195" s="1469"/>
    </row>
    <row r="2196" spans="11:15">
      <c r="K2196" s="1466">
        <v>44253</v>
      </c>
      <c r="L2196" s="1467" t="s">
        <v>2127</v>
      </c>
      <c r="M2196" s="1468">
        <v>7.4689999999999999E-3</v>
      </c>
      <c r="N2196" s="1469">
        <v>1.6213815987198115</v>
      </c>
      <c r="O2196" s="1469"/>
    </row>
    <row r="2197" spans="11:15">
      <c r="K2197" s="1466">
        <v>44254</v>
      </c>
      <c r="L2197" s="1467"/>
      <c r="M2197" s="1468">
        <v>0</v>
      </c>
      <c r="N2197" s="1469">
        <v>1.6213815987198115</v>
      </c>
      <c r="O2197" s="1469"/>
    </row>
    <row r="2198" spans="11:15">
      <c r="K2198" s="1466">
        <v>44255</v>
      </c>
      <c r="L2198" s="1467"/>
      <c r="M2198" s="1468">
        <v>0</v>
      </c>
      <c r="N2198" s="1469">
        <v>1.6213815987198115</v>
      </c>
      <c r="O2198" s="1469"/>
    </row>
    <row r="2199" spans="11:15">
      <c r="K2199" s="1466">
        <v>44256</v>
      </c>
      <c r="L2199" s="1467" t="s">
        <v>2127</v>
      </c>
      <c r="M2199" s="1468">
        <v>7.4689999999999999E-3</v>
      </c>
      <c r="N2199" s="1469">
        <v>1.6215026997114197</v>
      </c>
      <c r="O2199" s="1469"/>
    </row>
    <row r="2200" spans="11:15">
      <c r="K2200" s="1466">
        <v>44257</v>
      </c>
      <c r="L2200" s="1467" t="s">
        <v>2127</v>
      </c>
      <c r="M2200" s="1468">
        <v>7.4689999999999999E-3</v>
      </c>
      <c r="N2200" s="1469">
        <v>1.6216238097480611</v>
      </c>
      <c r="O2200" s="1469"/>
    </row>
    <row r="2201" spans="11:15">
      <c r="K2201" s="1466">
        <v>44258</v>
      </c>
      <c r="L2201" s="1467" t="s">
        <v>2127</v>
      </c>
      <c r="M2201" s="1468">
        <v>7.4689999999999999E-3</v>
      </c>
      <c r="N2201" s="1469">
        <v>1.6217449288304111</v>
      </c>
      <c r="O2201" s="1469"/>
    </row>
    <row r="2202" spans="11:15">
      <c r="K2202" s="1466">
        <v>44259</v>
      </c>
      <c r="L2202" s="1467" t="s">
        <v>2127</v>
      </c>
      <c r="M2202" s="1468">
        <v>7.4689999999999999E-3</v>
      </c>
      <c r="N2202" s="1469">
        <v>1.6218660569591454</v>
      </c>
      <c r="O2202" s="1469"/>
    </row>
    <row r="2203" spans="11:15">
      <c r="K2203" s="1466">
        <v>44260</v>
      </c>
      <c r="L2203" s="1467" t="s">
        <v>2127</v>
      </c>
      <c r="M2203" s="1468">
        <v>7.4689999999999999E-3</v>
      </c>
      <c r="N2203" s="1469">
        <v>1.6219871941349395</v>
      </c>
      <c r="O2203" s="1469"/>
    </row>
    <row r="2204" spans="11:15">
      <c r="K2204" s="1466">
        <v>44261</v>
      </c>
      <c r="L2204" s="1467"/>
      <c r="M2204" s="1468">
        <v>0</v>
      </c>
      <c r="N2204" s="1469">
        <v>1.6219871941349395</v>
      </c>
      <c r="O2204" s="1469"/>
    </row>
    <row r="2205" spans="11:15">
      <c r="K2205" s="1466">
        <v>44262</v>
      </c>
      <c r="L2205" s="1467"/>
      <c r="M2205" s="1468">
        <v>0</v>
      </c>
      <c r="N2205" s="1469">
        <v>1.6219871941349395</v>
      </c>
      <c r="O2205" s="1469"/>
    </row>
    <row r="2206" spans="11:15">
      <c r="K2206" s="1466">
        <v>44263</v>
      </c>
      <c r="L2206" s="1467" t="s">
        <v>2127</v>
      </c>
      <c r="M2206" s="1468">
        <v>7.4689999999999999E-3</v>
      </c>
      <c r="N2206" s="1469">
        <v>1.6221083403584693</v>
      </c>
      <c r="O2206" s="1469"/>
    </row>
    <row r="2207" spans="11:15">
      <c r="K2207" s="1466">
        <v>44264</v>
      </c>
      <c r="L2207" s="1467" t="s">
        <v>2127</v>
      </c>
      <c r="M2207" s="1468">
        <v>7.4689999999999999E-3</v>
      </c>
      <c r="N2207" s="1469">
        <v>1.6222294956304106</v>
      </c>
      <c r="O2207" s="1469"/>
    </row>
    <row r="2208" spans="11:15">
      <c r="K2208" s="1466">
        <v>44265</v>
      </c>
      <c r="L2208" s="1467" t="s">
        <v>2127</v>
      </c>
      <c r="M2208" s="1468">
        <v>7.4689999999999999E-3</v>
      </c>
      <c r="N2208" s="1469">
        <v>1.6223506599514392</v>
      </c>
      <c r="O2208" s="1469"/>
    </row>
    <row r="2209" spans="11:15">
      <c r="K2209" s="1466">
        <v>44266</v>
      </c>
      <c r="L2209" s="1467" t="s">
        <v>2127</v>
      </c>
      <c r="M2209" s="1468">
        <v>7.4689999999999999E-3</v>
      </c>
      <c r="N2209" s="1469">
        <v>1.622471833322231</v>
      </c>
      <c r="O2209" s="1469"/>
    </row>
    <row r="2210" spans="11:15">
      <c r="K2210" s="1466">
        <v>44267</v>
      </c>
      <c r="L2210" s="1467" t="s">
        <v>2127</v>
      </c>
      <c r="M2210" s="1468">
        <v>7.4689999999999999E-3</v>
      </c>
      <c r="N2210" s="1469">
        <v>1.6225930157434618</v>
      </c>
      <c r="O2210" s="1469"/>
    </row>
    <row r="2211" spans="11:15">
      <c r="K2211" s="1466">
        <v>44268</v>
      </c>
      <c r="L2211" s="1467"/>
      <c r="M2211" s="1468">
        <v>0</v>
      </c>
      <c r="N2211" s="1469">
        <v>1.6225930157434618</v>
      </c>
      <c r="O2211" s="1469"/>
    </row>
    <row r="2212" spans="11:15">
      <c r="K2212" s="1466">
        <v>44269</v>
      </c>
      <c r="L2212" s="1467"/>
      <c r="M2212" s="1468">
        <v>0</v>
      </c>
      <c r="N2212" s="1469">
        <v>1.6225930157434618</v>
      </c>
      <c r="O2212" s="1469"/>
    </row>
    <row r="2213" spans="11:15">
      <c r="K2213" s="1466">
        <v>44270</v>
      </c>
      <c r="L2213" s="1467" t="s">
        <v>2127</v>
      </c>
      <c r="M2213" s="1468">
        <v>7.4689999999999999E-3</v>
      </c>
      <c r="N2213" s="1469">
        <v>1.6227142072158076</v>
      </c>
      <c r="O2213" s="1469"/>
    </row>
    <row r="2214" spans="11:15">
      <c r="K2214" s="1466">
        <v>44271</v>
      </c>
      <c r="L2214" s="1467" t="s">
        <v>2127</v>
      </c>
      <c r="M2214" s="1468">
        <v>7.4689999999999999E-3</v>
      </c>
      <c r="N2214" s="1469">
        <v>1.6228354077399445</v>
      </c>
      <c r="O2214" s="1469"/>
    </row>
    <row r="2215" spans="11:15">
      <c r="K2215" s="1466">
        <v>44272</v>
      </c>
      <c r="L2215" s="1467" t="s">
        <v>2127</v>
      </c>
      <c r="M2215" s="1468">
        <v>7.4689999999999999E-3</v>
      </c>
      <c r="N2215" s="1469">
        <v>1.6229566173165484</v>
      </c>
      <c r="O2215" s="1469"/>
    </row>
    <row r="2216" spans="11:15">
      <c r="K2216" s="1466">
        <v>44273</v>
      </c>
      <c r="L2216" s="1467" t="s">
        <v>2127</v>
      </c>
      <c r="M2216" s="1468">
        <v>1.0378999999999999E-2</v>
      </c>
      <c r="N2216" s="1469">
        <v>1.6231250639838597</v>
      </c>
      <c r="O2216" s="1469"/>
    </row>
    <row r="2217" spans="11:15">
      <c r="K2217" s="1466">
        <v>44274</v>
      </c>
      <c r="L2217" s="1467" t="s">
        <v>2127</v>
      </c>
      <c r="M2217" s="1468">
        <v>1.0378999999999999E-2</v>
      </c>
      <c r="N2217" s="1469">
        <v>1.6232935281342507</v>
      </c>
      <c r="O2217" s="1469"/>
    </row>
    <row r="2218" spans="11:15">
      <c r="K2218" s="1466">
        <v>44275</v>
      </c>
      <c r="L2218" s="1467"/>
      <c r="M2218" s="1468">
        <v>0</v>
      </c>
      <c r="N2218" s="1469">
        <v>1.6232935281342507</v>
      </c>
      <c r="O2218" s="1469"/>
    </row>
    <row r="2219" spans="11:15">
      <c r="K2219" s="1466">
        <v>44276</v>
      </c>
      <c r="L2219" s="1467"/>
      <c r="M2219" s="1468">
        <v>0</v>
      </c>
      <c r="N2219" s="1469">
        <v>1.6232935281342507</v>
      </c>
      <c r="O2219" s="1469"/>
    </row>
    <row r="2220" spans="11:15">
      <c r="K2220" s="1466">
        <v>44277</v>
      </c>
      <c r="L2220" s="1467" t="s">
        <v>2127</v>
      </c>
      <c r="M2220" s="1468">
        <v>1.0378999999999999E-2</v>
      </c>
      <c r="N2220" s="1469">
        <v>1.6234620097695358</v>
      </c>
      <c r="O2220" s="1469"/>
    </row>
    <row r="2221" spans="11:15">
      <c r="K2221" s="1466">
        <v>44278</v>
      </c>
      <c r="L2221" s="1467" t="s">
        <v>2127</v>
      </c>
      <c r="M2221" s="1468">
        <v>1.0378999999999999E-2</v>
      </c>
      <c r="N2221" s="1469">
        <v>1.6236305088915299</v>
      </c>
      <c r="O2221" s="1469"/>
    </row>
    <row r="2222" spans="11:15">
      <c r="K2222" s="1466">
        <v>44279</v>
      </c>
      <c r="L2222" s="1467" t="s">
        <v>2127</v>
      </c>
      <c r="M2222" s="1468">
        <v>1.0378999999999999E-2</v>
      </c>
      <c r="N2222" s="1469">
        <v>1.6237990255020478</v>
      </c>
      <c r="O2222" s="1469"/>
    </row>
    <row r="2223" spans="11:15">
      <c r="K2223" s="1466">
        <v>44280</v>
      </c>
      <c r="L2223" s="1467" t="s">
        <v>2127</v>
      </c>
      <c r="M2223" s="1468">
        <v>1.0378999999999999E-2</v>
      </c>
      <c r="N2223" s="1469">
        <v>1.6239675596029048</v>
      </c>
      <c r="O2223" s="1469"/>
    </row>
    <row r="2224" spans="11:15">
      <c r="K2224" s="1466">
        <v>44281</v>
      </c>
      <c r="L2224" s="1467" t="s">
        <v>2127</v>
      </c>
      <c r="M2224" s="1468">
        <v>1.0378999999999999E-2</v>
      </c>
      <c r="N2224" s="1469">
        <v>1.6241361111959161</v>
      </c>
      <c r="O2224" s="1469"/>
    </row>
    <row r="2225" spans="11:15">
      <c r="K2225" s="1466">
        <v>44282</v>
      </c>
      <c r="L2225" s="1467"/>
      <c r="M2225" s="1468">
        <v>0</v>
      </c>
      <c r="N2225" s="1469">
        <v>1.6241361111959161</v>
      </c>
      <c r="O2225" s="1469"/>
    </row>
    <row r="2226" spans="11:15">
      <c r="K2226" s="1466">
        <v>44283</v>
      </c>
      <c r="L2226" s="1467"/>
      <c r="M2226" s="1468">
        <v>0</v>
      </c>
      <c r="N2226" s="1469">
        <v>1.6241361111959161</v>
      </c>
      <c r="O2226" s="1469"/>
    </row>
    <row r="2227" spans="11:15">
      <c r="K2227" s="1466">
        <v>44284</v>
      </c>
      <c r="L2227" s="1467" t="s">
        <v>2127</v>
      </c>
      <c r="M2227" s="1468">
        <v>1.0378999999999999E-2</v>
      </c>
      <c r="N2227" s="1469">
        <v>1.6243046802828971</v>
      </c>
      <c r="O2227" s="1469"/>
    </row>
    <row r="2228" spans="11:15">
      <c r="K2228" s="1466">
        <v>44285</v>
      </c>
      <c r="L2228" s="1467" t="s">
        <v>2127</v>
      </c>
      <c r="M2228" s="1468">
        <v>1.0378999999999999E-2</v>
      </c>
      <c r="N2228" s="1469">
        <v>1.6244732668656638</v>
      </c>
      <c r="O2228" s="1469"/>
    </row>
    <row r="2229" spans="11:15">
      <c r="K2229" s="1466">
        <v>44286</v>
      </c>
      <c r="L2229" s="1467" t="s">
        <v>2127</v>
      </c>
      <c r="M2229" s="1468">
        <v>1.0378999999999999E-2</v>
      </c>
      <c r="N2229" s="1469">
        <v>1.624641870946032</v>
      </c>
      <c r="O2229" s="1469"/>
    </row>
    <row r="2230" spans="11:15">
      <c r="K2230" s="1466">
        <v>44287</v>
      </c>
      <c r="L2230" s="1467" t="s">
        <v>2127</v>
      </c>
      <c r="M2230" s="1468">
        <v>1.0378999999999999E-2</v>
      </c>
      <c r="N2230" s="1469">
        <v>1.6248104925258176</v>
      </c>
      <c r="O2230" s="1469"/>
    </row>
    <row r="2231" spans="11:15">
      <c r="K2231" s="1466">
        <v>44288</v>
      </c>
      <c r="L2231" s="1467"/>
      <c r="M2231" s="1468">
        <v>0</v>
      </c>
      <c r="N2231" s="1469">
        <v>1.6248104925258176</v>
      </c>
      <c r="O2231" s="1469"/>
    </row>
    <row r="2232" spans="11:15">
      <c r="K2232" s="1466">
        <v>44289</v>
      </c>
      <c r="L2232" s="1467"/>
      <c r="M2232" s="1468">
        <v>0</v>
      </c>
      <c r="N2232" s="1469">
        <v>1.6248104925258176</v>
      </c>
      <c r="O2232" s="1469"/>
    </row>
    <row r="2233" spans="11:15">
      <c r="K2233" s="1466">
        <v>44290</v>
      </c>
      <c r="L2233" s="1467"/>
      <c r="M2233" s="1468">
        <v>0</v>
      </c>
      <c r="N2233" s="1469">
        <v>1.6248104925258176</v>
      </c>
      <c r="O2233" s="1469"/>
    </row>
    <row r="2234" spans="11:15">
      <c r="K2234" s="1466">
        <v>44291</v>
      </c>
      <c r="L2234" s="1467" t="s">
        <v>2127</v>
      </c>
      <c r="M2234" s="1468">
        <v>1.0378999999999999E-2</v>
      </c>
      <c r="N2234" s="1469">
        <v>1.6249791316068369</v>
      </c>
      <c r="O2234" s="1469"/>
    </row>
    <row r="2235" spans="11:15">
      <c r="K2235" s="1466">
        <v>44292</v>
      </c>
      <c r="L2235" s="1467" t="s">
        <v>2127</v>
      </c>
      <c r="M2235" s="1468">
        <v>1.0378999999999999E-2</v>
      </c>
      <c r="N2235" s="1469">
        <v>1.6251477881909064</v>
      </c>
      <c r="O2235" s="1469"/>
    </row>
    <row r="2236" spans="11:15">
      <c r="K2236" s="1466">
        <v>44293</v>
      </c>
      <c r="L2236" s="1467" t="s">
        <v>2127</v>
      </c>
      <c r="M2236" s="1468">
        <v>1.0378999999999999E-2</v>
      </c>
      <c r="N2236" s="1469">
        <v>1.6253164622798428</v>
      </c>
      <c r="O2236" s="1469"/>
    </row>
    <row r="2237" spans="11:15">
      <c r="K2237" s="1466">
        <v>44294</v>
      </c>
      <c r="L2237" s="1467" t="s">
        <v>2127</v>
      </c>
      <c r="M2237" s="1468">
        <v>1.0378999999999999E-2</v>
      </c>
      <c r="N2237" s="1469">
        <v>1.6254851538754629</v>
      </c>
      <c r="O2237" s="1469"/>
    </row>
    <row r="2238" spans="11:15">
      <c r="K2238" s="1466">
        <v>44295</v>
      </c>
      <c r="L2238" s="1467" t="s">
        <v>2127</v>
      </c>
      <c r="M2238" s="1468">
        <v>1.0378999999999999E-2</v>
      </c>
      <c r="N2238" s="1469">
        <v>1.6256538629795838</v>
      </c>
      <c r="O2238" s="1469"/>
    </row>
    <row r="2239" spans="11:15">
      <c r="K2239" s="1466">
        <v>44296</v>
      </c>
      <c r="L2239" s="1467"/>
      <c r="M2239" s="1468">
        <v>0</v>
      </c>
      <c r="N2239" s="1469">
        <v>1.6256538629795838</v>
      </c>
      <c r="O2239" s="1469"/>
    </row>
    <row r="2240" spans="11:15">
      <c r="K2240" s="1466">
        <v>44297</v>
      </c>
      <c r="L2240" s="1467"/>
      <c r="M2240" s="1468">
        <v>0</v>
      </c>
      <c r="N2240" s="1469">
        <v>1.6256538629795838</v>
      </c>
      <c r="O2240" s="1469"/>
    </row>
    <row r="2241" spans="11:15">
      <c r="K2241" s="1466">
        <v>44298</v>
      </c>
      <c r="L2241" s="1467" t="s">
        <v>2127</v>
      </c>
      <c r="M2241" s="1468">
        <v>1.0378999999999999E-2</v>
      </c>
      <c r="N2241" s="1469">
        <v>1.6258225895940226</v>
      </c>
      <c r="O2241" s="1469"/>
    </row>
    <row r="2242" spans="11:15">
      <c r="K2242" s="1466">
        <v>44299</v>
      </c>
      <c r="L2242" s="1467" t="s">
        <v>2127</v>
      </c>
      <c r="M2242" s="1468">
        <v>1.0378999999999999E-2</v>
      </c>
      <c r="N2242" s="1469">
        <v>1.6259913337205967</v>
      </c>
      <c r="O2242" s="1469"/>
    </row>
    <row r="2243" spans="11:15">
      <c r="K2243" s="1466">
        <v>44300</v>
      </c>
      <c r="L2243" s="1467" t="s">
        <v>2127</v>
      </c>
      <c r="M2243" s="1468">
        <v>1.0378999999999999E-2</v>
      </c>
      <c r="N2243" s="1469">
        <v>1.6261600953611237</v>
      </c>
      <c r="O2243" s="1469"/>
    </row>
    <row r="2244" spans="11:15">
      <c r="K2244" s="1466">
        <v>44301</v>
      </c>
      <c r="L2244" s="1467" t="s">
        <v>2127</v>
      </c>
      <c r="M2244" s="1468">
        <v>1.0378999999999999E-2</v>
      </c>
      <c r="N2244" s="1469">
        <v>1.6263288745174214</v>
      </c>
      <c r="O2244" s="1469"/>
    </row>
    <row r="2245" spans="11:15">
      <c r="K2245" s="1466">
        <v>44302</v>
      </c>
      <c r="L2245" s="1467" t="s">
        <v>2127</v>
      </c>
      <c r="M2245" s="1468">
        <v>1.0378999999999999E-2</v>
      </c>
      <c r="N2245" s="1469">
        <v>1.6264976711913075</v>
      </c>
      <c r="O2245" s="1469"/>
    </row>
    <row r="2246" spans="11:15">
      <c r="K2246" s="1466">
        <v>44303</v>
      </c>
      <c r="L2246" s="1467"/>
      <c r="M2246" s="1468">
        <v>0</v>
      </c>
      <c r="N2246" s="1469">
        <v>1.6264976711913075</v>
      </c>
      <c r="O2246" s="1469"/>
    </row>
    <row r="2247" spans="11:15">
      <c r="K2247" s="1466">
        <v>44304</v>
      </c>
      <c r="L2247" s="1467"/>
      <c r="M2247" s="1468">
        <v>0</v>
      </c>
      <c r="N2247" s="1469">
        <v>1.6264976711913075</v>
      </c>
      <c r="O2247" s="1469"/>
    </row>
    <row r="2248" spans="11:15">
      <c r="K2248" s="1466">
        <v>44305</v>
      </c>
      <c r="L2248" s="1467" t="s">
        <v>2127</v>
      </c>
      <c r="M2248" s="1468">
        <v>1.0378999999999999E-2</v>
      </c>
      <c r="N2248" s="1469">
        <v>1.6266664853846005</v>
      </c>
      <c r="O2248" s="1469"/>
    </row>
    <row r="2249" spans="11:15">
      <c r="K2249" s="1466">
        <v>44306</v>
      </c>
      <c r="L2249" s="1467" t="s">
        <v>2127</v>
      </c>
      <c r="M2249" s="1468">
        <v>1.0378999999999999E-2</v>
      </c>
      <c r="N2249" s="1469">
        <v>1.6268353170991185</v>
      </c>
      <c r="O2249" s="1469"/>
    </row>
    <row r="2250" spans="11:15">
      <c r="K2250" s="1466">
        <v>44307</v>
      </c>
      <c r="L2250" s="1467"/>
      <c r="M2250" s="1468">
        <v>0</v>
      </c>
      <c r="N2250" s="1469">
        <v>1.6268353170991185</v>
      </c>
      <c r="O2250" s="1469"/>
    </row>
    <row r="2251" spans="11:15">
      <c r="K2251" s="1466">
        <v>44308</v>
      </c>
      <c r="L2251" s="1467" t="s">
        <v>2127</v>
      </c>
      <c r="M2251" s="1468">
        <v>1.0378999999999999E-2</v>
      </c>
      <c r="N2251" s="1469">
        <v>1.6270041663366803</v>
      </c>
      <c r="O2251" s="1469"/>
    </row>
    <row r="2252" spans="11:15">
      <c r="K2252" s="1466">
        <v>44309</v>
      </c>
      <c r="L2252" s="1467" t="s">
        <v>2127</v>
      </c>
      <c r="M2252" s="1468">
        <v>1.0378999999999999E-2</v>
      </c>
      <c r="N2252" s="1469">
        <v>1.6271730330991045</v>
      </c>
      <c r="O2252" s="1469"/>
    </row>
    <row r="2253" spans="11:15">
      <c r="K2253" s="1466">
        <v>44310</v>
      </c>
      <c r="L2253" s="1467"/>
      <c r="M2253" s="1468">
        <v>0</v>
      </c>
      <c r="N2253" s="1469">
        <v>1.6271730330991045</v>
      </c>
      <c r="O2253" s="1469"/>
    </row>
    <row r="2254" spans="11:15">
      <c r="K2254" s="1466">
        <v>44311</v>
      </c>
      <c r="L2254" s="1467"/>
      <c r="M2254" s="1468">
        <v>0</v>
      </c>
      <c r="N2254" s="1469">
        <v>1.6271730330991045</v>
      </c>
      <c r="O2254" s="1469"/>
    </row>
    <row r="2255" spans="11:15">
      <c r="K2255" s="1466">
        <v>44312</v>
      </c>
      <c r="L2255" s="1467" t="s">
        <v>2127</v>
      </c>
      <c r="M2255" s="1468">
        <v>1.0378999999999999E-2</v>
      </c>
      <c r="N2255" s="1469">
        <v>1.62734191738821</v>
      </c>
      <c r="O2255" s="1469"/>
    </row>
    <row r="2256" spans="11:15">
      <c r="K2256" s="1466">
        <v>44313</v>
      </c>
      <c r="L2256" s="1467" t="s">
        <v>2127</v>
      </c>
      <c r="M2256" s="1468">
        <v>1.0378999999999999E-2</v>
      </c>
      <c r="N2256" s="1469">
        <v>1.6275108192058159</v>
      </c>
      <c r="O2256" s="1469"/>
    </row>
    <row r="2257" spans="11:15">
      <c r="K2257" s="1466">
        <v>44314</v>
      </c>
      <c r="L2257" s="1467" t="s">
        <v>2127</v>
      </c>
      <c r="M2257" s="1468">
        <v>1.0378999999999999E-2</v>
      </c>
      <c r="N2257" s="1469">
        <v>1.6276797385537414</v>
      </c>
      <c r="O2257" s="1469"/>
    </row>
    <row r="2258" spans="11:15">
      <c r="K2258" s="1466">
        <v>44315</v>
      </c>
      <c r="L2258" s="1467" t="s">
        <v>2127</v>
      </c>
      <c r="M2258" s="1468">
        <v>1.0378999999999999E-2</v>
      </c>
      <c r="N2258" s="1469">
        <v>1.627848675433806</v>
      </c>
      <c r="O2258" s="1469"/>
    </row>
    <row r="2259" spans="11:15">
      <c r="K2259" s="1466">
        <v>44316</v>
      </c>
      <c r="L2259" s="1467" t="s">
        <v>2127</v>
      </c>
      <c r="M2259" s="1468">
        <v>1.0378999999999999E-2</v>
      </c>
      <c r="N2259" s="1469">
        <v>1.6280176298478293</v>
      </c>
      <c r="O2259" s="1469"/>
    </row>
    <row r="2260" spans="11:15">
      <c r="K2260" s="1466">
        <v>44317</v>
      </c>
      <c r="L2260" s="1467"/>
      <c r="M2260" s="1468">
        <v>0</v>
      </c>
      <c r="N2260" s="1469">
        <v>1.6280176298478293</v>
      </c>
      <c r="O2260" s="1469"/>
    </row>
    <row r="2261" spans="11:15">
      <c r="K2261" s="1466">
        <v>44318</v>
      </c>
      <c r="L2261" s="1467"/>
      <c r="M2261" s="1468">
        <v>0</v>
      </c>
      <c r="N2261" s="1469">
        <v>1.6280176298478293</v>
      </c>
      <c r="O2261" s="1469"/>
    </row>
    <row r="2262" spans="11:15">
      <c r="K2262" s="1466">
        <v>44319</v>
      </c>
      <c r="L2262" s="1467" t="s">
        <v>2127</v>
      </c>
      <c r="M2262" s="1468">
        <v>1.0378999999999999E-2</v>
      </c>
      <c r="N2262" s="1469">
        <v>1.6281866017976312</v>
      </c>
      <c r="O2262" s="1469"/>
    </row>
    <row r="2263" spans="11:15">
      <c r="K2263" s="1466">
        <v>44320</v>
      </c>
      <c r="L2263" s="1467" t="s">
        <v>2127</v>
      </c>
      <c r="M2263" s="1468">
        <v>1.0378999999999999E-2</v>
      </c>
      <c r="N2263" s="1469">
        <v>1.6283555912850318</v>
      </c>
      <c r="O2263" s="1469"/>
    </row>
    <row r="2264" spans="11:15">
      <c r="K2264" s="1466">
        <v>44321</v>
      </c>
      <c r="L2264" s="1467" t="s">
        <v>2127</v>
      </c>
      <c r="M2264" s="1468">
        <v>1.0378999999999999E-2</v>
      </c>
      <c r="N2264" s="1469">
        <v>1.6285245983118515</v>
      </c>
      <c r="O2264" s="1469"/>
    </row>
    <row r="2265" spans="11:15">
      <c r="K2265" s="1466">
        <v>44322</v>
      </c>
      <c r="L2265" s="1467" t="s">
        <v>2127</v>
      </c>
      <c r="M2265" s="1468">
        <v>1.3269E-2</v>
      </c>
      <c r="N2265" s="1469">
        <v>1.6287406872408015</v>
      </c>
      <c r="O2265" s="1469"/>
    </row>
    <row r="2266" spans="11:15">
      <c r="K2266" s="1466">
        <v>44323</v>
      </c>
      <c r="L2266" s="1467" t="s">
        <v>2127</v>
      </c>
      <c r="M2266" s="1468">
        <v>1.3269E-2</v>
      </c>
      <c r="N2266" s="1469">
        <v>1.6289568048425915</v>
      </c>
      <c r="O2266" s="1469"/>
    </row>
    <row r="2267" spans="11:15">
      <c r="K2267" s="1466">
        <v>44324</v>
      </c>
      <c r="L2267" s="1467"/>
      <c r="M2267" s="1468">
        <v>0</v>
      </c>
      <c r="N2267" s="1469">
        <v>1.6289568048425915</v>
      </c>
      <c r="O2267" s="1469"/>
    </row>
    <row r="2268" spans="11:15">
      <c r="K2268" s="1466">
        <v>44325</v>
      </c>
      <c r="L2268" s="1467"/>
      <c r="M2268" s="1468">
        <v>0</v>
      </c>
      <c r="N2268" s="1469">
        <v>1.6289568048425915</v>
      </c>
      <c r="O2268" s="1469"/>
    </row>
    <row r="2269" spans="11:15">
      <c r="K2269" s="1466">
        <v>44326</v>
      </c>
      <c r="L2269" s="1467" t="s">
        <v>2127</v>
      </c>
      <c r="M2269" s="1468">
        <v>1.3269E-2</v>
      </c>
      <c r="N2269" s="1469">
        <v>1.6291729511210262</v>
      </c>
      <c r="O2269" s="1469"/>
    </row>
    <row r="2270" spans="11:15">
      <c r="K2270" s="1466">
        <v>44327</v>
      </c>
      <c r="L2270" s="1467" t="s">
        <v>2127</v>
      </c>
      <c r="M2270" s="1468">
        <v>1.3269E-2</v>
      </c>
      <c r="N2270" s="1469">
        <v>1.6293891260799105</v>
      </c>
      <c r="O2270" s="1469"/>
    </row>
    <row r="2271" spans="11:15">
      <c r="K2271" s="1466">
        <v>44328</v>
      </c>
      <c r="L2271" s="1467" t="s">
        <v>2127</v>
      </c>
      <c r="M2271" s="1468">
        <v>1.3269E-2</v>
      </c>
      <c r="N2271" s="1469">
        <v>1.6296053297230502</v>
      </c>
      <c r="O2271" s="1469"/>
    </row>
    <row r="2272" spans="11:15">
      <c r="K2272" s="1466">
        <v>44329</v>
      </c>
      <c r="L2272" s="1467" t="s">
        <v>2127</v>
      </c>
      <c r="M2272" s="1468">
        <v>1.3269E-2</v>
      </c>
      <c r="N2272" s="1469">
        <v>1.6298215620542511</v>
      </c>
      <c r="O2272" s="1469"/>
    </row>
    <row r="2273" spans="11:15">
      <c r="K2273" s="1466">
        <v>44330</v>
      </c>
      <c r="L2273" s="1467" t="s">
        <v>2127</v>
      </c>
      <c r="M2273" s="1468">
        <v>1.3269E-2</v>
      </c>
      <c r="N2273" s="1469">
        <v>1.6300378230773203</v>
      </c>
      <c r="O2273" s="1469"/>
    </row>
    <row r="2274" spans="11:15">
      <c r="K2274" s="1466">
        <v>44331</v>
      </c>
      <c r="L2274" s="1467"/>
      <c r="M2274" s="1468">
        <v>0</v>
      </c>
      <c r="N2274" s="1469">
        <v>1.6300378230773203</v>
      </c>
      <c r="O2274" s="1469"/>
    </row>
    <row r="2275" spans="11:15">
      <c r="K2275" s="1466">
        <v>44332</v>
      </c>
      <c r="L2275" s="1467"/>
      <c r="M2275" s="1468">
        <v>0</v>
      </c>
      <c r="N2275" s="1469">
        <v>1.6300378230773203</v>
      </c>
      <c r="O2275" s="1469"/>
    </row>
    <row r="2276" spans="11:15">
      <c r="K2276" s="1466">
        <v>44333</v>
      </c>
      <c r="L2276" s="1467" t="s">
        <v>2127</v>
      </c>
      <c r="M2276" s="1468">
        <v>1.3269E-2</v>
      </c>
      <c r="N2276" s="1469">
        <v>1.6302541127960644</v>
      </c>
      <c r="O2276" s="1469"/>
    </row>
    <row r="2277" spans="11:15">
      <c r="K2277" s="1466">
        <v>44334</v>
      </c>
      <c r="L2277" s="1467" t="s">
        <v>2127</v>
      </c>
      <c r="M2277" s="1468">
        <v>1.3269E-2</v>
      </c>
      <c r="N2277" s="1469">
        <v>1.6304704312142912</v>
      </c>
      <c r="O2277" s="1469"/>
    </row>
    <row r="2278" spans="11:15">
      <c r="K2278" s="1466">
        <v>44335</v>
      </c>
      <c r="L2278" s="1467" t="s">
        <v>2127</v>
      </c>
      <c r="M2278" s="1468">
        <v>1.3269E-2</v>
      </c>
      <c r="N2278" s="1469">
        <v>1.6306867783358092</v>
      </c>
      <c r="O2278" s="1469"/>
    </row>
    <row r="2279" spans="11:15">
      <c r="K2279" s="1466">
        <v>44336</v>
      </c>
      <c r="L2279" s="1467" t="s">
        <v>2127</v>
      </c>
      <c r="M2279" s="1468">
        <v>1.3269E-2</v>
      </c>
      <c r="N2279" s="1469">
        <v>1.6309031541644268</v>
      </c>
      <c r="O2279" s="1469"/>
    </row>
    <row r="2280" spans="11:15">
      <c r="K2280" s="1466">
        <v>44337</v>
      </c>
      <c r="L2280" s="1467" t="s">
        <v>2127</v>
      </c>
      <c r="M2280" s="1468">
        <v>1.3269E-2</v>
      </c>
      <c r="N2280" s="1469">
        <v>1.6311195587039529</v>
      </c>
      <c r="O2280" s="1469"/>
    </row>
    <row r="2281" spans="11:15">
      <c r="K2281" s="1466">
        <v>44338</v>
      </c>
      <c r="L2281" s="1467"/>
      <c r="M2281" s="1468">
        <v>0</v>
      </c>
      <c r="N2281" s="1469">
        <v>1.6311195587039529</v>
      </c>
      <c r="O2281" s="1469"/>
    </row>
    <row r="2282" spans="11:15">
      <c r="K2282" s="1466">
        <v>44339</v>
      </c>
      <c r="L2282" s="1467"/>
      <c r="M2282" s="1468">
        <v>0</v>
      </c>
      <c r="N2282" s="1469">
        <v>1.6311195587039529</v>
      </c>
      <c r="O2282" s="1469"/>
    </row>
    <row r="2283" spans="11:15">
      <c r="K2283" s="1466">
        <v>44340</v>
      </c>
      <c r="L2283" s="1467" t="s">
        <v>2127</v>
      </c>
      <c r="M2283" s="1468">
        <v>1.3269E-2</v>
      </c>
      <c r="N2283" s="1469">
        <v>1.6313359919581973</v>
      </c>
      <c r="O2283" s="1469"/>
    </row>
    <row r="2284" spans="11:15">
      <c r="K2284" s="1466">
        <v>44341</v>
      </c>
      <c r="L2284" s="1467" t="s">
        <v>2127</v>
      </c>
      <c r="M2284" s="1468">
        <v>1.3269E-2</v>
      </c>
      <c r="N2284" s="1469">
        <v>1.6315524539309703</v>
      </c>
      <c r="O2284" s="1469"/>
    </row>
    <row r="2285" spans="11:15">
      <c r="K2285" s="1466">
        <v>44342</v>
      </c>
      <c r="L2285" s="1467" t="s">
        <v>2127</v>
      </c>
      <c r="M2285" s="1468">
        <v>1.3269E-2</v>
      </c>
      <c r="N2285" s="1469">
        <v>1.6317689446260824</v>
      </c>
      <c r="O2285" s="1469"/>
    </row>
    <row r="2286" spans="11:15">
      <c r="K2286" s="1466">
        <v>44343</v>
      </c>
      <c r="L2286" s="1467" t="s">
        <v>2127</v>
      </c>
      <c r="M2286" s="1468">
        <v>1.3269E-2</v>
      </c>
      <c r="N2286" s="1469">
        <v>1.6319854640473448</v>
      </c>
      <c r="O2286" s="1469"/>
    </row>
    <row r="2287" spans="11:15">
      <c r="K2287" s="1466">
        <v>44344</v>
      </c>
      <c r="L2287" s="1467" t="s">
        <v>2127</v>
      </c>
      <c r="M2287" s="1468">
        <v>1.3269E-2</v>
      </c>
      <c r="N2287" s="1469">
        <v>1.6322020121985694</v>
      </c>
      <c r="O2287" s="1469"/>
    </row>
    <row r="2288" spans="11:15">
      <c r="K2288" s="1466">
        <v>44345</v>
      </c>
      <c r="L2288" s="1467"/>
      <c r="M2288" s="1468">
        <v>0</v>
      </c>
      <c r="N2288" s="1469">
        <v>1.6322020121985694</v>
      </c>
      <c r="O2288" s="1469"/>
    </row>
    <row r="2289" spans="11:15">
      <c r="K2289" s="1466">
        <v>44346</v>
      </c>
      <c r="L2289" s="1467"/>
      <c r="M2289" s="1468">
        <v>0</v>
      </c>
      <c r="N2289" s="1469">
        <v>1.6322020121985694</v>
      </c>
      <c r="O2289" s="1469"/>
    </row>
    <row r="2290" spans="11:15">
      <c r="K2290" s="1466">
        <v>44347</v>
      </c>
      <c r="L2290" s="1467" t="s">
        <v>2127</v>
      </c>
      <c r="M2290" s="1468">
        <v>1.3269E-2</v>
      </c>
      <c r="N2290" s="1469">
        <v>1.6324185890835681</v>
      </c>
      <c r="O2290" s="1469"/>
    </row>
    <row r="2291" spans="11:15">
      <c r="K2291" s="1466">
        <v>44348</v>
      </c>
      <c r="L2291" s="1467" t="s">
        <v>2127</v>
      </c>
      <c r="M2291" s="1468">
        <v>1.3269E-2</v>
      </c>
      <c r="N2291" s="1469">
        <v>1.6326351947061537</v>
      </c>
      <c r="O2291" s="1469"/>
    </row>
    <row r="2292" spans="11:15">
      <c r="K2292" s="1466">
        <v>44349</v>
      </c>
      <c r="L2292" s="1467" t="s">
        <v>2127</v>
      </c>
      <c r="M2292" s="1468">
        <v>1.3269E-2</v>
      </c>
      <c r="N2292" s="1469">
        <v>1.6328518290701393</v>
      </c>
      <c r="O2292" s="1469"/>
    </row>
    <row r="2293" spans="11:15">
      <c r="K2293" s="1466">
        <v>44350</v>
      </c>
      <c r="L2293" s="1467"/>
      <c r="M2293" s="1468">
        <v>0</v>
      </c>
      <c r="N2293" s="1469">
        <v>1.6328518290701393</v>
      </c>
      <c r="O2293" s="1469"/>
    </row>
    <row r="2294" spans="11:15">
      <c r="K2294" s="1466">
        <v>44351</v>
      </c>
      <c r="L2294" s="1467" t="s">
        <v>2127</v>
      </c>
      <c r="M2294" s="1468">
        <v>1.3269E-2</v>
      </c>
      <c r="N2294" s="1469">
        <v>1.6330684921793386</v>
      </c>
      <c r="O2294" s="1469"/>
    </row>
    <row r="2295" spans="11:15">
      <c r="K2295" s="1466">
        <v>44352</v>
      </c>
      <c r="L2295" s="1467"/>
      <c r="M2295" s="1468">
        <v>0</v>
      </c>
      <c r="N2295" s="1469">
        <v>1.6330684921793386</v>
      </c>
      <c r="O2295" s="1469"/>
    </row>
    <row r="2296" spans="11:15">
      <c r="K2296" s="1466">
        <v>44353</v>
      </c>
      <c r="L2296" s="1467"/>
      <c r="M2296" s="1468">
        <v>0</v>
      </c>
      <c r="N2296" s="1469">
        <v>1.6330684921793386</v>
      </c>
      <c r="O2296" s="1469"/>
    </row>
    <row r="2297" spans="11:15">
      <c r="K2297" s="1466">
        <v>44354</v>
      </c>
      <c r="L2297" s="1467" t="s">
        <v>2127</v>
      </c>
      <c r="M2297" s="1468">
        <v>1.3269E-2</v>
      </c>
      <c r="N2297" s="1469">
        <v>1.633285184037566</v>
      </c>
      <c r="O2297" s="1469"/>
    </row>
    <row r="2298" spans="11:15">
      <c r="K2298" s="1466">
        <v>44355</v>
      </c>
      <c r="L2298" s="1467" t="s">
        <v>2127</v>
      </c>
      <c r="M2298" s="1468">
        <v>1.3269E-2</v>
      </c>
      <c r="N2298" s="1469">
        <v>1.6335019046486359</v>
      </c>
      <c r="O2298" s="1469"/>
    </row>
    <row r="2299" spans="11:15">
      <c r="K2299" s="1466">
        <v>44356</v>
      </c>
      <c r="L2299" s="1467" t="s">
        <v>2127</v>
      </c>
      <c r="M2299" s="1468">
        <v>1.3269E-2</v>
      </c>
      <c r="N2299" s="1469">
        <v>1.6337186540163637</v>
      </c>
      <c r="O2299" s="1469"/>
    </row>
    <row r="2300" spans="11:15">
      <c r="K2300" s="1466">
        <v>44357</v>
      </c>
      <c r="L2300" s="1467" t="s">
        <v>2127</v>
      </c>
      <c r="M2300" s="1468">
        <v>1.3269E-2</v>
      </c>
      <c r="N2300" s="1469">
        <v>1.6339354321445652</v>
      </c>
      <c r="O2300" s="1469"/>
    </row>
    <row r="2301" spans="11:15">
      <c r="K2301" s="1466">
        <v>44358</v>
      </c>
      <c r="L2301" s="1467" t="s">
        <v>2127</v>
      </c>
      <c r="M2301" s="1468">
        <v>1.3269E-2</v>
      </c>
      <c r="N2301" s="1469">
        <v>1.6341522390370564</v>
      </c>
      <c r="O2301" s="1469"/>
    </row>
    <row r="2302" spans="11:15">
      <c r="K2302" s="1466">
        <v>44359</v>
      </c>
      <c r="L2302" s="1467"/>
      <c r="M2302" s="1468">
        <v>0</v>
      </c>
      <c r="N2302" s="1469">
        <v>1.6341522390370564</v>
      </c>
      <c r="O2302" s="1469"/>
    </row>
    <row r="2303" spans="11:15">
      <c r="K2303" s="1466">
        <v>44360</v>
      </c>
      <c r="L2303" s="1467"/>
      <c r="M2303" s="1468">
        <v>0</v>
      </c>
      <c r="N2303" s="1469">
        <v>1.6341522390370564</v>
      </c>
      <c r="O2303" s="1469"/>
    </row>
    <row r="2304" spans="11:15">
      <c r="K2304" s="1466">
        <v>44361</v>
      </c>
      <c r="L2304" s="1467" t="s">
        <v>2127</v>
      </c>
      <c r="M2304" s="1468">
        <v>1.3269E-2</v>
      </c>
      <c r="N2304" s="1469">
        <v>1.6343690746976542</v>
      </c>
      <c r="O2304" s="1469"/>
    </row>
    <row r="2305" spans="11:15">
      <c r="K2305" s="1466">
        <v>44362</v>
      </c>
      <c r="L2305" s="1467" t="s">
        <v>2127</v>
      </c>
      <c r="M2305" s="1468">
        <v>1.3269E-2</v>
      </c>
      <c r="N2305" s="1469">
        <v>1.634585939130176</v>
      </c>
      <c r="O2305" s="1469"/>
    </row>
    <row r="2306" spans="11:15">
      <c r="K2306" s="1466">
        <v>44363</v>
      </c>
      <c r="L2306" s="1467" t="s">
        <v>2127</v>
      </c>
      <c r="M2306" s="1468">
        <v>1.3269E-2</v>
      </c>
      <c r="N2306" s="1469">
        <v>1.6348028323384394</v>
      </c>
      <c r="O2306" s="1469"/>
    </row>
    <row r="2307" spans="11:15">
      <c r="K2307" s="1466">
        <v>44364</v>
      </c>
      <c r="L2307" s="1467" t="s">
        <v>2127</v>
      </c>
      <c r="M2307" s="1468">
        <v>1.6136999999999999E-2</v>
      </c>
      <c r="N2307" s="1469">
        <v>1.635066640471494</v>
      </c>
      <c r="O2307" s="1469"/>
    </row>
    <row r="2308" spans="11:15">
      <c r="K2308" s="1466">
        <v>44365</v>
      </c>
      <c r="L2308" s="1467" t="s">
        <v>2127</v>
      </c>
      <c r="M2308" s="1468">
        <v>1.6136999999999999E-2</v>
      </c>
      <c r="N2308" s="1469">
        <v>1.6353304911752669</v>
      </c>
      <c r="O2308" s="1469"/>
    </row>
    <row r="2309" spans="11:15">
      <c r="K2309" s="1466">
        <v>44366</v>
      </c>
      <c r="L2309" s="1467"/>
      <c r="M2309" s="1468">
        <v>0</v>
      </c>
      <c r="N2309" s="1469">
        <v>1.6353304911752669</v>
      </c>
      <c r="O2309" s="1469"/>
    </row>
    <row r="2310" spans="11:15">
      <c r="K2310" s="1466">
        <v>44367</v>
      </c>
      <c r="L2310" s="1467"/>
      <c r="M2310" s="1468">
        <v>0</v>
      </c>
      <c r="N2310" s="1469">
        <v>1.6353304911752669</v>
      </c>
      <c r="O2310" s="1469"/>
    </row>
    <row r="2311" spans="11:15">
      <c r="K2311" s="1466">
        <v>44368</v>
      </c>
      <c r="L2311" s="1467" t="s">
        <v>2127</v>
      </c>
      <c r="M2311" s="1468">
        <v>1.6136999999999999E-2</v>
      </c>
      <c r="N2311" s="1469">
        <v>1.6355943844566279</v>
      </c>
      <c r="O2311" s="1469"/>
    </row>
    <row r="2312" spans="11:15">
      <c r="K2312" s="1466">
        <v>44369</v>
      </c>
      <c r="L2312" s="1467" t="s">
        <v>2127</v>
      </c>
      <c r="M2312" s="1468">
        <v>1.6136999999999999E-2</v>
      </c>
      <c r="N2312" s="1469">
        <v>1.6358583203224477</v>
      </c>
      <c r="O2312" s="1469"/>
    </row>
    <row r="2313" spans="11:15">
      <c r="K2313" s="1466">
        <v>44370</v>
      </c>
      <c r="L2313" s="1467" t="s">
        <v>2127</v>
      </c>
      <c r="M2313" s="1468">
        <v>1.6136999999999999E-2</v>
      </c>
      <c r="N2313" s="1469">
        <v>1.6361222987795982</v>
      </c>
      <c r="O2313" s="1469"/>
    </row>
    <row r="2314" spans="11:15">
      <c r="K2314" s="1466">
        <v>44371</v>
      </c>
      <c r="L2314" s="1467" t="s">
        <v>2127</v>
      </c>
      <c r="M2314" s="1468">
        <v>1.6136999999999999E-2</v>
      </c>
      <c r="N2314" s="1469">
        <v>1.6363863198349524</v>
      </c>
      <c r="O2314" s="1469"/>
    </row>
    <row r="2315" spans="11:15">
      <c r="K2315" s="1466">
        <v>44372</v>
      </c>
      <c r="L2315" s="1467" t="s">
        <v>2127</v>
      </c>
      <c r="M2315" s="1468">
        <v>1.6136999999999999E-2</v>
      </c>
      <c r="N2315" s="1469">
        <v>1.6366503834953843</v>
      </c>
      <c r="O2315" s="1469"/>
    </row>
    <row r="2316" spans="11:15">
      <c r="K2316" s="1466">
        <v>44373</v>
      </c>
      <c r="L2316" s="1467"/>
      <c r="M2316" s="1468">
        <v>0</v>
      </c>
      <c r="N2316" s="1469">
        <v>1.6366503834953843</v>
      </c>
      <c r="O2316" s="1469"/>
    </row>
    <row r="2317" spans="11:15">
      <c r="K2317" s="1466">
        <v>44374</v>
      </c>
      <c r="L2317" s="1467"/>
      <c r="M2317" s="1468">
        <v>0</v>
      </c>
      <c r="N2317" s="1469">
        <v>1.6366503834953843</v>
      </c>
      <c r="O2317" s="1469"/>
    </row>
    <row r="2318" spans="11:15">
      <c r="K2318" s="1466">
        <v>44375</v>
      </c>
      <c r="L2318" s="1467" t="s">
        <v>2127</v>
      </c>
      <c r="M2318" s="1468">
        <v>1.6136999999999999E-2</v>
      </c>
      <c r="N2318" s="1469">
        <v>1.636914489767769</v>
      </c>
      <c r="O2318" s="1469"/>
    </row>
    <row r="2319" spans="11:15">
      <c r="K2319" s="1466">
        <v>44376</v>
      </c>
      <c r="L2319" s="1467" t="s">
        <v>2127</v>
      </c>
      <c r="M2319" s="1468">
        <v>1.6136999999999999E-2</v>
      </c>
      <c r="N2319" s="1469">
        <v>1.6371786386589828</v>
      </c>
      <c r="O2319" s="1469"/>
    </row>
    <row r="2320" spans="11:15">
      <c r="K2320" s="1466">
        <v>44377</v>
      </c>
      <c r="L2320" s="1467" t="s">
        <v>2127</v>
      </c>
      <c r="M2320" s="1468">
        <v>1.6136999999999999E-2</v>
      </c>
      <c r="N2320" s="1469">
        <v>1.6374428301759034</v>
      </c>
      <c r="O2320" s="1469"/>
    </row>
    <row r="2321" spans="11:15">
      <c r="K2321" s="1466">
        <v>44378</v>
      </c>
      <c r="L2321" s="1467" t="s">
        <v>2127</v>
      </c>
      <c r="M2321" s="1468">
        <v>1.6136999999999999E-2</v>
      </c>
      <c r="N2321" s="1469">
        <v>1.637707064325409</v>
      </c>
      <c r="O2321" s="1469"/>
    </row>
    <row r="2322" spans="11:15">
      <c r="K2322" s="1466">
        <v>44379</v>
      </c>
      <c r="L2322" s="1467" t="s">
        <v>2127</v>
      </c>
      <c r="M2322" s="1468">
        <v>1.6136999999999999E-2</v>
      </c>
      <c r="N2322" s="1469">
        <v>1.6379713411143793</v>
      </c>
      <c r="O2322" s="1469"/>
    </row>
    <row r="2323" spans="11:15">
      <c r="K2323" s="1466">
        <v>44380</v>
      </c>
      <c r="L2323" s="1467"/>
      <c r="M2323" s="1468">
        <v>0</v>
      </c>
      <c r="N2323" s="1469">
        <v>1.6379713411143793</v>
      </c>
      <c r="O2323" s="1469"/>
    </row>
    <row r="2324" spans="11:15">
      <c r="K2324" s="1466">
        <v>44381</v>
      </c>
      <c r="L2324" s="1467"/>
      <c r="M2324" s="1468">
        <v>0</v>
      </c>
      <c r="N2324" s="1469">
        <v>1.6379713411143793</v>
      </c>
      <c r="O2324" s="1469"/>
    </row>
    <row r="2325" spans="11:15">
      <c r="K2325" s="1466">
        <v>44382</v>
      </c>
      <c r="L2325" s="1467" t="s">
        <v>2127</v>
      </c>
      <c r="M2325" s="1468">
        <v>1.6136999999999999E-2</v>
      </c>
      <c r="N2325" s="1469">
        <v>1.638235660549695</v>
      </c>
      <c r="O2325" s="1469"/>
    </row>
    <row r="2326" spans="11:15">
      <c r="K2326" s="1466">
        <v>44383</v>
      </c>
      <c r="L2326" s="1467" t="s">
        <v>2127</v>
      </c>
      <c r="M2326" s="1468">
        <v>1.6136999999999999E-2</v>
      </c>
      <c r="N2326" s="1469">
        <v>1.638500022638238</v>
      </c>
      <c r="O2326" s="1469"/>
    </row>
    <row r="2327" spans="11:15">
      <c r="K2327" s="1466">
        <v>44384</v>
      </c>
      <c r="L2327" s="1467" t="s">
        <v>2127</v>
      </c>
      <c r="M2327" s="1468">
        <v>1.6136999999999999E-2</v>
      </c>
      <c r="N2327" s="1469">
        <v>1.6387644273868913</v>
      </c>
      <c r="O2327" s="1469"/>
    </row>
    <row r="2328" spans="11:15">
      <c r="K2328" s="1466">
        <v>44385</v>
      </c>
      <c r="L2328" s="1467" t="s">
        <v>2127</v>
      </c>
      <c r="M2328" s="1468">
        <v>1.6136999999999999E-2</v>
      </c>
      <c r="N2328" s="1469">
        <v>1.6390288748025388</v>
      </c>
      <c r="O2328" s="1469"/>
    </row>
    <row r="2329" spans="11:15">
      <c r="K2329" s="1466">
        <v>44386</v>
      </c>
      <c r="L2329" s="1467" t="s">
        <v>2127</v>
      </c>
      <c r="M2329" s="1468">
        <v>1.6136999999999999E-2</v>
      </c>
      <c r="N2329" s="1469">
        <v>1.6392933648920658</v>
      </c>
      <c r="O2329" s="1469"/>
    </row>
    <row r="2330" spans="11:15">
      <c r="K2330" s="1466">
        <v>44387</v>
      </c>
      <c r="L2330" s="1467"/>
      <c r="M2330" s="1468">
        <v>0</v>
      </c>
      <c r="N2330" s="1469">
        <v>1.6392933648920658</v>
      </c>
      <c r="O2330" s="1469"/>
    </row>
    <row r="2331" spans="11:15">
      <c r="K2331" s="1466">
        <v>44388</v>
      </c>
      <c r="L2331" s="1467"/>
      <c r="M2331" s="1468">
        <v>0</v>
      </c>
      <c r="N2331" s="1469">
        <v>1.6392933648920658</v>
      </c>
      <c r="O2331" s="1469"/>
    </row>
    <row r="2332" spans="11:15">
      <c r="K2332" s="1466">
        <v>44389</v>
      </c>
      <c r="L2332" s="1467" t="s">
        <v>2127</v>
      </c>
      <c r="M2332" s="1468">
        <v>1.6136999999999999E-2</v>
      </c>
      <c r="N2332" s="1469">
        <v>1.6395578976623586</v>
      </c>
      <c r="O2332" s="1469"/>
    </row>
    <row r="2333" spans="11:15">
      <c r="K2333" s="1466">
        <v>44390</v>
      </c>
      <c r="L2333" s="1467" t="s">
        <v>2127</v>
      </c>
      <c r="M2333" s="1468">
        <v>1.6136999999999999E-2</v>
      </c>
      <c r="N2333" s="1469">
        <v>1.6398224731203044</v>
      </c>
      <c r="O2333" s="1469"/>
    </row>
    <row r="2334" spans="11:15">
      <c r="K2334" s="1466">
        <v>44391</v>
      </c>
      <c r="L2334" s="1467" t="s">
        <v>2127</v>
      </c>
      <c r="M2334" s="1468">
        <v>1.6136999999999999E-2</v>
      </c>
      <c r="N2334" s="1469">
        <v>1.6400870912727918</v>
      </c>
      <c r="O2334" s="1469"/>
    </row>
    <row r="2335" spans="11:15">
      <c r="K2335" s="1466">
        <v>44392</v>
      </c>
      <c r="L2335" s="1467" t="s">
        <v>2127</v>
      </c>
      <c r="M2335" s="1468">
        <v>1.6136999999999999E-2</v>
      </c>
      <c r="N2335" s="1469">
        <v>1.6403517521267106</v>
      </c>
      <c r="O2335" s="1469"/>
    </row>
    <row r="2336" spans="11:15">
      <c r="K2336" s="1466">
        <v>44393</v>
      </c>
      <c r="L2336" s="1467" t="s">
        <v>2127</v>
      </c>
      <c r="M2336" s="1468">
        <v>1.6136999999999999E-2</v>
      </c>
      <c r="N2336" s="1469">
        <v>1.6406164556889513</v>
      </c>
      <c r="O2336" s="1469"/>
    </row>
    <row r="2337" spans="11:15">
      <c r="K2337" s="1466">
        <v>44394</v>
      </c>
      <c r="L2337" s="1467"/>
      <c r="M2337" s="1468">
        <v>0</v>
      </c>
      <c r="N2337" s="1469">
        <v>1.6406164556889513</v>
      </c>
      <c r="O2337" s="1469"/>
    </row>
    <row r="2338" spans="11:15">
      <c r="K2338" s="1466">
        <v>44395</v>
      </c>
      <c r="L2338" s="1467"/>
      <c r="M2338" s="1468">
        <v>0</v>
      </c>
      <c r="N2338" s="1469">
        <v>1.6406164556889513</v>
      </c>
      <c r="O2338" s="1469"/>
    </row>
    <row r="2339" spans="11:15">
      <c r="K2339" s="1466">
        <v>44396</v>
      </c>
      <c r="L2339" s="1467" t="s">
        <v>2127</v>
      </c>
      <c r="M2339" s="1468">
        <v>1.6136999999999999E-2</v>
      </c>
      <c r="N2339" s="1469">
        <v>1.6408812019664059</v>
      </c>
      <c r="O2339" s="1469"/>
    </row>
    <row r="2340" spans="11:15">
      <c r="K2340" s="1466">
        <v>44397</v>
      </c>
      <c r="L2340" s="1467" t="s">
        <v>2127</v>
      </c>
      <c r="M2340" s="1468">
        <v>1.6136999999999999E-2</v>
      </c>
      <c r="N2340" s="1469">
        <v>1.6411459909659674</v>
      </c>
      <c r="O2340" s="1469"/>
    </row>
    <row r="2341" spans="11:15">
      <c r="K2341" s="1466">
        <v>44398</v>
      </c>
      <c r="L2341" s="1467" t="s">
        <v>2127</v>
      </c>
      <c r="M2341" s="1468">
        <v>1.6136999999999999E-2</v>
      </c>
      <c r="N2341" s="1469">
        <v>1.6414108226945296</v>
      </c>
      <c r="O2341" s="1469"/>
    </row>
    <row r="2342" spans="11:15">
      <c r="K2342" s="1466">
        <v>44399</v>
      </c>
      <c r="L2342" s="1467" t="s">
        <v>2127</v>
      </c>
      <c r="M2342" s="1468">
        <v>1.6136999999999999E-2</v>
      </c>
      <c r="N2342" s="1469">
        <v>1.6416756971589879</v>
      </c>
      <c r="O2342" s="1469"/>
    </row>
    <row r="2343" spans="11:15">
      <c r="K2343" s="1466">
        <v>44400</v>
      </c>
      <c r="L2343" s="1467" t="s">
        <v>2127</v>
      </c>
      <c r="M2343" s="1468">
        <v>1.6136999999999999E-2</v>
      </c>
      <c r="N2343" s="1469">
        <v>1.6419406143662385</v>
      </c>
      <c r="O2343" s="1469"/>
    </row>
    <row r="2344" spans="11:15">
      <c r="K2344" s="1466">
        <v>44401</v>
      </c>
      <c r="L2344" s="1467"/>
      <c r="M2344" s="1468">
        <v>0</v>
      </c>
      <c r="N2344" s="1469">
        <v>1.6419406143662385</v>
      </c>
      <c r="O2344" s="1469"/>
    </row>
    <row r="2345" spans="11:15">
      <c r="K2345" s="1466">
        <v>44402</v>
      </c>
      <c r="L2345" s="1467"/>
      <c r="M2345" s="1468">
        <v>0</v>
      </c>
      <c r="N2345" s="1469">
        <v>1.6419406143662385</v>
      </c>
      <c r="O2345" s="1469"/>
    </row>
    <row r="2346" spans="11:15">
      <c r="K2346" s="1466">
        <v>44403</v>
      </c>
      <c r="L2346" s="1467" t="s">
        <v>2127</v>
      </c>
      <c r="M2346" s="1468">
        <v>1.6136999999999999E-2</v>
      </c>
      <c r="N2346" s="1469">
        <v>1.6422055743231789</v>
      </c>
      <c r="O2346" s="1469"/>
    </row>
    <row r="2347" spans="11:15">
      <c r="K2347" s="1466">
        <v>44404</v>
      </c>
      <c r="L2347" s="1467" t="s">
        <v>2127</v>
      </c>
      <c r="M2347" s="1468">
        <v>1.6136999999999999E-2</v>
      </c>
      <c r="N2347" s="1469">
        <v>1.6424705770367076</v>
      </c>
      <c r="O2347" s="1469"/>
    </row>
    <row r="2348" spans="11:15">
      <c r="K2348" s="1466">
        <v>44405</v>
      </c>
      <c r="L2348" s="1467" t="s">
        <v>2127</v>
      </c>
      <c r="M2348" s="1468">
        <v>1.6136999999999999E-2</v>
      </c>
      <c r="N2348" s="1469">
        <v>1.6427356225137242</v>
      </c>
      <c r="O2348" s="1469"/>
    </row>
    <row r="2349" spans="11:15">
      <c r="K2349" s="1466">
        <v>44406</v>
      </c>
      <c r="L2349" s="1467" t="s">
        <v>2127</v>
      </c>
      <c r="M2349" s="1468">
        <v>1.6136999999999999E-2</v>
      </c>
      <c r="N2349" s="1469">
        <v>1.6430007107611293</v>
      </c>
      <c r="O2349" s="1469"/>
    </row>
    <row r="2350" spans="11:15">
      <c r="K2350" s="1466">
        <v>44407</v>
      </c>
      <c r="L2350" s="1467" t="s">
        <v>2127</v>
      </c>
      <c r="M2350" s="1468">
        <v>1.6136999999999999E-2</v>
      </c>
      <c r="N2350" s="1469">
        <v>1.6432658417858248</v>
      </c>
      <c r="O2350" s="1469"/>
    </row>
    <row r="2351" spans="11:15">
      <c r="K2351" s="1466">
        <v>44408</v>
      </c>
      <c r="L2351" s="1467"/>
      <c r="M2351" s="1468">
        <v>0</v>
      </c>
      <c r="N2351" s="1469">
        <v>1.6432658417858248</v>
      </c>
      <c r="O2351" s="1469"/>
    </row>
    <row r="2352" spans="11:15">
      <c r="K2352" s="1466">
        <v>44409</v>
      </c>
      <c r="L2352" s="1467"/>
      <c r="M2352" s="1468">
        <v>0</v>
      </c>
      <c r="N2352" s="1469">
        <v>1.6432658417858248</v>
      </c>
      <c r="O2352" s="1469"/>
    </row>
    <row r="2353" spans="11:15">
      <c r="K2353" s="1466">
        <v>44410</v>
      </c>
      <c r="L2353" s="1467" t="s">
        <v>2127</v>
      </c>
      <c r="M2353" s="1468">
        <v>1.6136999999999999E-2</v>
      </c>
      <c r="N2353" s="1469">
        <v>1.6435310155947138</v>
      </c>
      <c r="O2353" s="1469"/>
    </row>
    <row r="2354" spans="11:15">
      <c r="K2354" s="1466">
        <v>44411</v>
      </c>
      <c r="L2354" s="1467" t="s">
        <v>2127</v>
      </c>
      <c r="M2354" s="1468">
        <v>1.6136999999999999E-2</v>
      </c>
      <c r="N2354" s="1469">
        <v>1.6437962321947004</v>
      </c>
      <c r="O2354" s="1469"/>
    </row>
    <row r="2355" spans="11:15">
      <c r="K2355" s="1466">
        <v>44412</v>
      </c>
      <c r="L2355" s="1467" t="s">
        <v>2127</v>
      </c>
      <c r="M2355" s="1468">
        <v>1.6136999999999999E-2</v>
      </c>
      <c r="N2355" s="1469">
        <v>1.6440614915926897</v>
      </c>
      <c r="O2355" s="1469"/>
    </row>
    <row r="2356" spans="11:15">
      <c r="K2356" s="1466">
        <v>44413</v>
      </c>
      <c r="L2356" s="1467" t="s">
        <v>2127</v>
      </c>
      <c r="M2356" s="1468">
        <v>1.993E-2</v>
      </c>
      <c r="N2356" s="1469">
        <v>1.6443891530479642</v>
      </c>
      <c r="O2356" s="1469"/>
    </row>
    <row r="2357" spans="11:15">
      <c r="K2357" s="1466">
        <v>44414</v>
      </c>
      <c r="L2357" s="1467" t="s">
        <v>2127</v>
      </c>
      <c r="M2357" s="1468">
        <v>1.993E-2</v>
      </c>
      <c r="N2357" s="1469">
        <v>1.6447168798061667</v>
      </c>
      <c r="O2357" s="1469"/>
    </row>
    <row r="2358" spans="11:15">
      <c r="K2358" s="1466">
        <v>44415</v>
      </c>
      <c r="L2358" s="1467"/>
      <c r="M2358" s="1468">
        <v>0</v>
      </c>
      <c r="N2358" s="1469">
        <v>1.6447168798061667</v>
      </c>
      <c r="O2358" s="1469"/>
    </row>
    <row r="2359" spans="11:15">
      <c r="K2359" s="1466">
        <v>44416</v>
      </c>
      <c r="L2359" s="1467"/>
      <c r="M2359" s="1468">
        <v>0</v>
      </c>
      <c r="N2359" s="1469">
        <v>1.6447168798061667</v>
      </c>
      <c r="O2359" s="1469"/>
    </row>
    <row r="2360" spans="11:15">
      <c r="K2360" s="1466">
        <v>44417</v>
      </c>
      <c r="L2360" s="1467" t="s">
        <v>2127</v>
      </c>
      <c r="M2360" s="1468">
        <v>1.993E-2</v>
      </c>
      <c r="N2360" s="1469">
        <v>1.645044671880312</v>
      </c>
      <c r="O2360" s="1469"/>
    </row>
    <row r="2361" spans="11:15">
      <c r="K2361" s="1466">
        <v>44418</v>
      </c>
      <c r="L2361" s="1467" t="s">
        <v>2127</v>
      </c>
      <c r="M2361" s="1468">
        <v>1.993E-2</v>
      </c>
      <c r="N2361" s="1469">
        <v>1.6453725292834178</v>
      </c>
      <c r="O2361" s="1469"/>
    </row>
    <row r="2362" spans="11:15">
      <c r="K2362" s="1466">
        <v>44419</v>
      </c>
      <c r="L2362" s="1467" t="s">
        <v>2127</v>
      </c>
      <c r="M2362" s="1468">
        <v>1.993E-2</v>
      </c>
      <c r="N2362" s="1469">
        <v>1.6457004520285041</v>
      </c>
      <c r="O2362" s="1469"/>
    </row>
    <row r="2363" spans="11:15">
      <c r="K2363" s="1466">
        <v>44420</v>
      </c>
      <c r="L2363" s="1467" t="s">
        <v>2127</v>
      </c>
      <c r="M2363" s="1468">
        <v>1.993E-2</v>
      </c>
      <c r="N2363" s="1469">
        <v>1.6460284401285934</v>
      </c>
      <c r="O2363" s="1469"/>
    </row>
    <row r="2364" spans="11:15">
      <c r="K2364" s="1466">
        <v>44421</v>
      </c>
      <c r="L2364" s="1467" t="s">
        <v>2127</v>
      </c>
      <c r="M2364" s="1468">
        <v>1.993E-2</v>
      </c>
      <c r="N2364" s="1469">
        <v>1.646356493596711</v>
      </c>
      <c r="O2364" s="1469"/>
    </row>
    <row r="2365" spans="11:15">
      <c r="K2365" s="1466">
        <v>44422</v>
      </c>
      <c r="L2365" s="1467"/>
      <c r="M2365" s="1468">
        <v>0</v>
      </c>
      <c r="N2365" s="1469">
        <v>1.646356493596711</v>
      </c>
      <c r="O2365" s="1469"/>
    </row>
    <row r="2366" spans="11:15">
      <c r="K2366" s="1466">
        <v>44423</v>
      </c>
      <c r="L2366" s="1467"/>
      <c r="M2366" s="1468">
        <v>0</v>
      </c>
      <c r="N2366" s="1469">
        <v>1.646356493596711</v>
      </c>
      <c r="O2366" s="1469"/>
    </row>
    <row r="2367" spans="11:15">
      <c r="K2367" s="1466">
        <v>44424</v>
      </c>
      <c r="L2367" s="1467" t="s">
        <v>2127</v>
      </c>
      <c r="M2367" s="1468">
        <v>1.993E-2</v>
      </c>
      <c r="N2367" s="1469">
        <v>1.6466846124458849</v>
      </c>
      <c r="O2367" s="1469"/>
    </row>
    <row r="2368" spans="11:15">
      <c r="K2368" s="1466">
        <v>44425</v>
      </c>
      <c r="L2368" s="1467" t="s">
        <v>2127</v>
      </c>
      <c r="M2368" s="1468">
        <v>1.993E-2</v>
      </c>
      <c r="N2368" s="1469">
        <v>1.6470127966891455</v>
      </c>
      <c r="O2368" s="1469"/>
    </row>
    <row r="2369" spans="11:15">
      <c r="K2369" s="1466">
        <v>44426</v>
      </c>
      <c r="L2369" s="1467" t="s">
        <v>2127</v>
      </c>
      <c r="M2369" s="1468">
        <v>1.993E-2</v>
      </c>
      <c r="N2369" s="1469">
        <v>1.6473410463395257</v>
      </c>
      <c r="O2369" s="1469"/>
    </row>
    <row r="2370" spans="11:15">
      <c r="K2370" s="1466">
        <v>44427</v>
      </c>
      <c r="L2370" s="1467" t="s">
        <v>2127</v>
      </c>
      <c r="M2370" s="1468">
        <v>1.993E-2</v>
      </c>
      <c r="N2370" s="1469">
        <v>1.6476693614100613</v>
      </c>
      <c r="O2370" s="1469"/>
    </row>
    <row r="2371" spans="11:15">
      <c r="K2371" s="1466">
        <v>44428</v>
      </c>
      <c r="L2371" s="1467" t="s">
        <v>2127</v>
      </c>
      <c r="M2371" s="1468">
        <v>1.993E-2</v>
      </c>
      <c r="N2371" s="1469">
        <v>1.6479977419137903</v>
      </c>
      <c r="O2371" s="1469"/>
    </row>
    <row r="2372" spans="11:15">
      <c r="K2372" s="1466">
        <v>44429</v>
      </c>
      <c r="L2372" s="1467"/>
      <c r="M2372" s="1468">
        <v>0</v>
      </c>
      <c r="N2372" s="1469">
        <v>1.6479977419137903</v>
      </c>
      <c r="O2372" s="1469"/>
    </row>
    <row r="2373" spans="11:15">
      <c r="K2373" s="1466">
        <v>44430</v>
      </c>
      <c r="L2373" s="1467"/>
      <c r="M2373" s="1468">
        <v>0</v>
      </c>
      <c r="N2373" s="1469">
        <v>1.6479977419137903</v>
      </c>
      <c r="O2373" s="1469"/>
    </row>
    <row r="2374" spans="11:15">
      <c r="K2374" s="1466">
        <v>44431</v>
      </c>
      <c r="L2374" s="1467" t="s">
        <v>2127</v>
      </c>
      <c r="M2374" s="1468">
        <v>1.993E-2</v>
      </c>
      <c r="N2374" s="1469">
        <v>1.6483261878637538</v>
      </c>
      <c r="O2374" s="1469"/>
    </row>
    <row r="2375" spans="11:15">
      <c r="K2375" s="1466">
        <v>44432</v>
      </c>
      <c r="L2375" s="1467" t="s">
        <v>2127</v>
      </c>
      <c r="M2375" s="1468">
        <v>1.993E-2</v>
      </c>
      <c r="N2375" s="1469">
        <v>1.6486546992729951</v>
      </c>
      <c r="O2375" s="1469"/>
    </row>
    <row r="2376" spans="11:15">
      <c r="K2376" s="1466">
        <v>44433</v>
      </c>
      <c r="L2376" s="1467" t="s">
        <v>2127</v>
      </c>
      <c r="M2376" s="1468">
        <v>1.993E-2</v>
      </c>
      <c r="N2376" s="1469">
        <v>1.6489832761545602</v>
      </c>
      <c r="O2376" s="1469"/>
    </row>
    <row r="2377" spans="11:15">
      <c r="K2377" s="1466">
        <v>44434</v>
      </c>
      <c r="L2377" s="1467" t="s">
        <v>2127</v>
      </c>
      <c r="M2377" s="1468">
        <v>1.993E-2</v>
      </c>
      <c r="N2377" s="1469">
        <v>1.6493119185214977</v>
      </c>
      <c r="O2377" s="1469"/>
    </row>
    <row r="2378" spans="11:15">
      <c r="K2378" s="1466">
        <v>44435</v>
      </c>
      <c r="L2378" s="1467" t="s">
        <v>2127</v>
      </c>
      <c r="M2378" s="1468">
        <v>1.993E-2</v>
      </c>
      <c r="N2378" s="1469">
        <v>1.649640626386859</v>
      </c>
      <c r="O2378" s="1469"/>
    </row>
    <row r="2379" spans="11:15">
      <c r="K2379" s="1466">
        <v>44436</v>
      </c>
      <c r="L2379" s="1467"/>
      <c r="M2379" s="1468">
        <v>0</v>
      </c>
      <c r="N2379" s="1469">
        <v>1.649640626386859</v>
      </c>
      <c r="O2379" s="1469"/>
    </row>
    <row r="2380" spans="11:15">
      <c r="K2380" s="1466">
        <v>44437</v>
      </c>
      <c r="L2380" s="1467"/>
      <c r="M2380" s="1468">
        <v>0</v>
      </c>
      <c r="N2380" s="1469">
        <v>1.649640626386859</v>
      </c>
      <c r="O2380" s="1469"/>
    </row>
    <row r="2381" spans="11:15">
      <c r="K2381" s="1466">
        <v>44438</v>
      </c>
      <c r="L2381" s="1467" t="s">
        <v>2127</v>
      </c>
      <c r="M2381" s="1468">
        <v>1.993E-2</v>
      </c>
      <c r="N2381" s="1469">
        <v>1.6499693997636979</v>
      </c>
      <c r="O2381" s="1469"/>
    </row>
    <row r="2382" spans="11:15">
      <c r="K2382" s="1466">
        <v>44439</v>
      </c>
      <c r="L2382" s="1467" t="s">
        <v>2127</v>
      </c>
      <c r="M2382" s="1468">
        <v>1.993E-2</v>
      </c>
      <c r="N2382" s="1469">
        <v>1.6502982386650709</v>
      </c>
      <c r="O2382" s="1469"/>
    </row>
    <row r="2383" spans="11:15">
      <c r="K2383" s="1466">
        <v>44440</v>
      </c>
      <c r="L2383" s="1467" t="s">
        <v>2127</v>
      </c>
      <c r="M2383" s="1468">
        <v>1.993E-2</v>
      </c>
      <c r="N2383" s="1469">
        <v>1.6506271431040369</v>
      </c>
      <c r="O2383" s="1469"/>
    </row>
    <row r="2384" spans="11:15">
      <c r="K2384" s="1466">
        <v>44441</v>
      </c>
      <c r="L2384" s="1467" t="s">
        <v>2127</v>
      </c>
      <c r="M2384" s="1468">
        <v>1.993E-2</v>
      </c>
      <c r="N2384" s="1469">
        <v>1.6509561130936576</v>
      </c>
      <c r="O2384" s="1469"/>
    </row>
    <row r="2385" spans="11:15">
      <c r="K2385" s="1466">
        <v>44442</v>
      </c>
      <c r="L2385" s="1467" t="s">
        <v>2127</v>
      </c>
      <c r="M2385" s="1468">
        <v>1.993E-2</v>
      </c>
      <c r="N2385" s="1469">
        <v>1.6512851486469973</v>
      </c>
      <c r="O2385" s="1469"/>
    </row>
    <row r="2386" spans="11:15">
      <c r="K2386" s="1466">
        <v>44443</v>
      </c>
      <c r="L2386" s="1467"/>
      <c r="M2386" s="1468">
        <v>0</v>
      </c>
      <c r="N2386" s="1469">
        <v>1.6512851486469973</v>
      </c>
      <c r="O2386" s="1469"/>
    </row>
    <row r="2387" spans="11:15">
      <c r="K2387" s="1466">
        <v>44444</v>
      </c>
      <c r="L2387" s="1467"/>
      <c r="M2387" s="1468">
        <v>0</v>
      </c>
      <c r="N2387" s="1469">
        <v>1.6512851486469973</v>
      </c>
      <c r="O2387" s="1469"/>
    </row>
    <row r="2388" spans="11:15">
      <c r="K2388" s="1466">
        <v>44445</v>
      </c>
      <c r="L2388" s="1467" t="s">
        <v>2127</v>
      </c>
      <c r="M2388" s="1468">
        <v>1.993E-2</v>
      </c>
      <c r="N2388" s="1469">
        <v>1.6516142497771227</v>
      </c>
      <c r="O2388" s="1469"/>
    </row>
    <row r="2389" spans="11:15">
      <c r="K2389" s="1466">
        <v>44446</v>
      </c>
      <c r="L2389" s="1467"/>
      <c r="M2389" s="1468">
        <v>0</v>
      </c>
      <c r="N2389" s="1469">
        <v>1.6516142497771227</v>
      </c>
      <c r="O2389" s="1469"/>
    </row>
    <row r="2390" spans="11:15">
      <c r="K2390" s="1466">
        <v>44447</v>
      </c>
      <c r="L2390" s="1467" t="s">
        <v>2127</v>
      </c>
      <c r="M2390" s="1468">
        <v>1.993E-2</v>
      </c>
      <c r="N2390" s="1469">
        <v>1.6519434164971032</v>
      </c>
      <c r="O2390" s="1469"/>
    </row>
    <row r="2391" spans="11:15">
      <c r="K2391" s="1466">
        <v>44448</v>
      </c>
      <c r="L2391" s="1467" t="s">
        <v>2127</v>
      </c>
      <c r="M2391" s="1468">
        <v>1.993E-2</v>
      </c>
      <c r="N2391" s="1469">
        <v>1.652272648820011</v>
      </c>
      <c r="O2391" s="1469"/>
    </row>
    <row r="2392" spans="11:15">
      <c r="K2392" s="1466">
        <v>44449</v>
      </c>
      <c r="L2392" s="1467" t="s">
        <v>2127</v>
      </c>
      <c r="M2392" s="1468">
        <v>1.993E-2</v>
      </c>
      <c r="N2392" s="1469">
        <v>1.6526019467589208</v>
      </c>
      <c r="O2392" s="1469"/>
    </row>
    <row r="2393" spans="11:15">
      <c r="K2393" s="1466">
        <v>44450</v>
      </c>
      <c r="L2393" s="1467"/>
      <c r="M2393" s="1468">
        <v>0</v>
      </c>
      <c r="N2393" s="1469">
        <v>1.6526019467589208</v>
      </c>
      <c r="O2393" s="1469"/>
    </row>
    <row r="2394" spans="11:15">
      <c r="K2394" s="1466">
        <v>44451</v>
      </c>
      <c r="L2394" s="1467"/>
      <c r="M2394" s="1468">
        <v>0</v>
      </c>
      <c r="N2394" s="1469">
        <v>1.6526019467589208</v>
      </c>
      <c r="O2394" s="1469"/>
    </row>
    <row r="2395" spans="11:15">
      <c r="K2395" s="1466">
        <v>44452</v>
      </c>
      <c r="L2395" s="1467" t="s">
        <v>2127</v>
      </c>
      <c r="M2395" s="1468">
        <v>1.993E-2</v>
      </c>
      <c r="N2395" s="1469">
        <v>1.6529313103269099</v>
      </c>
      <c r="O2395" s="1469"/>
    </row>
    <row r="2396" spans="11:15">
      <c r="K2396" s="1466">
        <v>44453</v>
      </c>
      <c r="L2396" s="1467" t="s">
        <v>2127</v>
      </c>
      <c r="M2396" s="1468">
        <v>1.993E-2</v>
      </c>
      <c r="N2396" s="1469">
        <v>1.653260739537058</v>
      </c>
      <c r="O2396" s="1469"/>
    </row>
    <row r="2397" spans="11:15">
      <c r="K2397" s="1466">
        <v>44454</v>
      </c>
      <c r="L2397" s="1467" t="s">
        <v>2127</v>
      </c>
      <c r="M2397" s="1468">
        <v>1.993E-2</v>
      </c>
      <c r="N2397" s="1469">
        <v>1.6535902344024478</v>
      </c>
      <c r="O2397" s="1469"/>
    </row>
    <row r="2398" spans="11:15">
      <c r="K2398" s="1466">
        <v>44455</v>
      </c>
      <c r="L2398" s="1467" t="s">
        <v>2127</v>
      </c>
      <c r="M2398" s="1468">
        <v>1.993E-2</v>
      </c>
      <c r="N2398" s="1469">
        <v>1.6539197949361641</v>
      </c>
      <c r="O2398" s="1469"/>
    </row>
    <row r="2399" spans="11:15">
      <c r="K2399" s="1466">
        <v>44456</v>
      </c>
      <c r="L2399" s="1467" t="s">
        <v>2127</v>
      </c>
      <c r="M2399" s="1468">
        <v>1.993E-2</v>
      </c>
      <c r="N2399" s="1469">
        <v>1.654249421151295</v>
      </c>
      <c r="O2399" s="1469"/>
    </row>
    <row r="2400" spans="11:15">
      <c r="K2400" s="1466">
        <v>44457</v>
      </c>
      <c r="L2400" s="1467"/>
      <c r="M2400" s="1468">
        <v>0</v>
      </c>
      <c r="N2400" s="1469">
        <v>1.654249421151295</v>
      </c>
      <c r="O2400" s="1469"/>
    </row>
    <row r="2401" spans="11:15">
      <c r="K2401" s="1466">
        <v>44458</v>
      </c>
      <c r="L2401" s="1467"/>
      <c r="M2401" s="1468">
        <v>0</v>
      </c>
      <c r="N2401" s="1469">
        <v>1.654249421151295</v>
      </c>
      <c r="O2401" s="1469"/>
    </row>
    <row r="2402" spans="11:15">
      <c r="K2402" s="1466">
        <v>44459</v>
      </c>
      <c r="L2402" s="1467" t="s">
        <v>2127</v>
      </c>
      <c r="M2402" s="1468">
        <v>1.993E-2</v>
      </c>
      <c r="N2402" s="1469">
        <v>1.6545791130609304</v>
      </c>
      <c r="O2402" s="1469"/>
    </row>
    <row r="2403" spans="11:15">
      <c r="K2403" s="1466">
        <v>44460</v>
      </c>
      <c r="L2403" s="1467" t="s">
        <v>2127</v>
      </c>
      <c r="M2403" s="1468">
        <v>1.993E-2</v>
      </c>
      <c r="N2403" s="1469">
        <v>1.6549088706781634</v>
      </c>
      <c r="O2403" s="1469"/>
    </row>
    <row r="2404" spans="11:15">
      <c r="K2404" s="1466">
        <v>44461</v>
      </c>
      <c r="L2404" s="1467" t="s">
        <v>2127</v>
      </c>
      <c r="M2404" s="1468">
        <v>1.993E-2</v>
      </c>
      <c r="N2404" s="1469">
        <v>1.6552386940160895</v>
      </c>
      <c r="O2404" s="1469"/>
    </row>
    <row r="2405" spans="11:15">
      <c r="K2405" s="1466">
        <v>44462</v>
      </c>
      <c r="L2405" s="1467" t="s">
        <v>2127</v>
      </c>
      <c r="M2405" s="1468">
        <v>2.3687E-2</v>
      </c>
      <c r="N2405" s="1469">
        <v>1.6556307704055411</v>
      </c>
      <c r="O2405" s="1469"/>
    </row>
    <row r="2406" spans="11:15">
      <c r="K2406" s="1466">
        <v>44463</v>
      </c>
      <c r="L2406" s="1467" t="s">
        <v>2127</v>
      </c>
      <c r="M2406" s="1468">
        <v>2.3687E-2</v>
      </c>
      <c r="N2406" s="1469">
        <v>1.656022939666127</v>
      </c>
      <c r="O2406" s="1469"/>
    </row>
    <row r="2407" spans="11:15">
      <c r="K2407" s="1466">
        <v>44464</v>
      </c>
      <c r="L2407" s="1467"/>
      <c r="M2407" s="1468">
        <v>0</v>
      </c>
      <c r="N2407" s="1469">
        <v>1.656022939666127</v>
      </c>
      <c r="O2407" s="1469"/>
    </row>
    <row r="2408" spans="11:15">
      <c r="K2408" s="1466">
        <v>44465</v>
      </c>
      <c r="L2408" s="1467"/>
      <c r="M2408" s="1468">
        <v>0</v>
      </c>
      <c r="N2408" s="1469">
        <v>1.656022939666127</v>
      </c>
      <c r="O2408" s="1469"/>
    </row>
    <row r="2409" spans="11:15">
      <c r="K2409" s="1466">
        <v>44466</v>
      </c>
      <c r="L2409" s="1467" t="s">
        <v>2127</v>
      </c>
      <c r="M2409" s="1468">
        <v>2.3687E-2</v>
      </c>
      <c r="N2409" s="1469">
        <v>1.6564152018198457</v>
      </c>
      <c r="O2409" s="1469"/>
    </row>
    <row r="2410" spans="11:15">
      <c r="K2410" s="1466">
        <v>44467</v>
      </c>
      <c r="L2410" s="1467" t="s">
        <v>2127</v>
      </c>
      <c r="M2410" s="1468">
        <v>2.3687E-2</v>
      </c>
      <c r="N2410" s="1469">
        <v>1.6568075568887006</v>
      </c>
      <c r="O2410" s="1469"/>
    </row>
    <row r="2411" spans="11:15">
      <c r="K2411" s="1466">
        <v>44468</v>
      </c>
      <c r="L2411" s="1467" t="s">
        <v>2127</v>
      </c>
      <c r="M2411" s="1468">
        <v>2.3687E-2</v>
      </c>
      <c r="N2411" s="1469">
        <v>1.6572000048947009</v>
      </c>
      <c r="O2411" s="1469"/>
    </row>
    <row r="2412" spans="11:15">
      <c r="K2412" s="1466">
        <v>44469</v>
      </c>
      <c r="L2412" s="1467" t="s">
        <v>2127</v>
      </c>
      <c r="M2412" s="1468">
        <v>2.3687E-2</v>
      </c>
      <c r="N2412" s="1469">
        <v>1.6575925458598602</v>
      </c>
      <c r="O2412" s="1469"/>
    </row>
    <row r="2413" spans="11:15">
      <c r="K2413" s="1466">
        <v>44470</v>
      </c>
      <c r="L2413" s="1467" t="s">
        <v>2127</v>
      </c>
      <c r="M2413" s="1468">
        <v>2.3687E-2</v>
      </c>
      <c r="N2413" s="1469">
        <v>1.657985179806198</v>
      </c>
      <c r="O2413" s="1469"/>
    </row>
    <row r="2414" spans="11:15">
      <c r="K2414" s="1466">
        <v>44471</v>
      </c>
      <c r="L2414" s="1467"/>
      <c r="M2414" s="1468">
        <v>0</v>
      </c>
      <c r="N2414" s="1469">
        <v>1.657985179806198</v>
      </c>
      <c r="O2414" s="1469"/>
    </row>
    <row r="2415" spans="11:15">
      <c r="K2415" s="1466">
        <v>44472</v>
      </c>
      <c r="L2415" s="1467"/>
      <c r="M2415" s="1468">
        <v>0</v>
      </c>
      <c r="N2415" s="1469">
        <v>1.657985179806198</v>
      </c>
      <c r="O2415" s="1469"/>
    </row>
    <row r="2416" spans="11:15">
      <c r="K2416" s="1466">
        <v>44473</v>
      </c>
      <c r="L2416" s="1467" t="s">
        <v>2127</v>
      </c>
      <c r="M2416" s="1468">
        <v>2.3687E-2</v>
      </c>
      <c r="N2416" s="1469">
        <v>1.6583779067557385</v>
      </c>
      <c r="O2416" s="1469"/>
    </row>
    <row r="2417" spans="11:15">
      <c r="K2417" s="1466">
        <v>44474</v>
      </c>
      <c r="L2417" s="1467" t="s">
        <v>2127</v>
      </c>
      <c r="M2417" s="1468">
        <v>2.3687E-2</v>
      </c>
      <c r="N2417" s="1469">
        <v>1.6587707267305116</v>
      </c>
      <c r="O2417" s="1469"/>
    </row>
    <row r="2418" spans="11:15">
      <c r="K2418" s="1466">
        <v>44475</v>
      </c>
      <c r="L2418" s="1467" t="s">
        <v>2127</v>
      </c>
      <c r="M2418" s="1468">
        <v>2.3687E-2</v>
      </c>
      <c r="N2418" s="1469">
        <v>1.6591636397525522</v>
      </c>
      <c r="O2418" s="1469"/>
    </row>
    <row r="2419" spans="11:15">
      <c r="K2419" s="1466">
        <v>44476</v>
      </c>
      <c r="L2419" s="1467" t="s">
        <v>2127</v>
      </c>
      <c r="M2419" s="1468">
        <v>2.3687E-2</v>
      </c>
      <c r="N2419" s="1469">
        <v>1.6595566458439004</v>
      </c>
      <c r="O2419" s="1469"/>
    </row>
    <row r="2420" spans="11:15">
      <c r="K2420" s="1466">
        <v>44477</v>
      </c>
      <c r="L2420" s="1467" t="s">
        <v>2127</v>
      </c>
      <c r="M2420" s="1468">
        <v>2.3687E-2</v>
      </c>
      <c r="N2420" s="1469">
        <v>1.6599497450266014</v>
      </c>
      <c r="O2420" s="1469"/>
    </row>
    <row r="2421" spans="11:15">
      <c r="K2421" s="1466">
        <v>44478</v>
      </c>
      <c r="L2421" s="1467"/>
      <c r="M2421" s="1468">
        <v>0</v>
      </c>
      <c r="N2421" s="1469">
        <v>1.6599497450266014</v>
      </c>
      <c r="O2421" s="1469"/>
    </row>
    <row r="2422" spans="11:15">
      <c r="K2422" s="1466">
        <v>44479</v>
      </c>
      <c r="L2422" s="1467"/>
      <c r="M2422" s="1468">
        <v>0</v>
      </c>
      <c r="N2422" s="1469">
        <v>1.6599497450266014</v>
      </c>
      <c r="O2422" s="1469"/>
    </row>
    <row r="2423" spans="11:15">
      <c r="K2423" s="1466">
        <v>44480</v>
      </c>
      <c r="L2423" s="1467" t="s">
        <v>2127</v>
      </c>
      <c r="M2423" s="1468">
        <v>2.3687E-2</v>
      </c>
      <c r="N2423" s="1469">
        <v>1.6603429373227059</v>
      </c>
      <c r="O2423" s="1469"/>
    </row>
    <row r="2424" spans="11:15">
      <c r="K2424" s="1466">
        <v>44481</v>
      </c>
      <c r="L2424" s="1467"/>
      <c r="M2424" s="1468">
        <v>0</v>
      </c>
      <c r="N2424" s="1469">
        <v>1.6603429373227059</v>
      </c>
      <c r="O2424" s="1469"/>
    </row>
    <row r="2425" spans="11:15">
      <c r="K2425" s="1466">
        <v>44482</v>
      </c>
      <c r="L2425" s="1467" t="s">
        <v>2127</v>
      </c>
      <c r="M2425" s="1468">
        <v>2.3687E-2</v>
      </c>
      <c r="N2425" s="1469">
        <v>1.6607362227542695</v>
      </c>
      <c r="O2425" s="1469"/>
    </row>
    <row r="2426" spans="11:15">
      <c r="K2426" s="1466">
        <v>44483</v>
      </c>
      <c r="L2426" s="1467" t="s">
        <v>2127</v>
      </c>
      <c r="M2426" s="1468">
        <v>2.3687E-2</v>
      </c>
      <c r="N2426" s="1469">
        <v>1.6611296013433532</v>
      </c>
      <c r="O2426" s="1469"/>
    </row>
    <row r="2427" spans="11:15">
      <c r="K2427" s="1466">
        <v>44484</v>
      </c>
      <c r="L2427" s="1467" t="s">
        <v>2127</v>
      </c>
      <c r="M2427" s="1468">
        <v>2.3687E-2</v>
      </c>
      <c r="N2427" s="1469">
        <v>1.6615230731120234</v>
      </c>
      <c r="O2427" s="1469"/>
    </row>
    <row r="2428" spans="11:15">
      <c r="K2428" s="1466">
        <v>44485</v>
      </c>
      <c r="L2428" s="1467"/>
      <c r="M2428" s="1468">
        <v>0</v>
      </c>
      <c r="N2428" s="1469">
        <v>1.6615230731120234</v>
      </c>
      <c r="O2428" s="1469"/>
    </row>
    <row r="2429" spans="11:15">
      <c r="K2429" s="1466">
        <v>44486</v>
      </c>
      <c r="L2429" s="1467"/>
      <c r="M2429" s="1468">
        <v>0</v>
      </c>
      <c r="N2429" s="1469">
        <v>1.6615230731120234</v>
      </c>
      <c r="O2429" s="1469"/>
    </row>
    <row r="2430" spans="11:15">
      <c r="K2430" s="1466">
        <v>44487</v>
      </c>
      <c r="L2430" s="1467" t="s">
        <v>2127</v>
      </c>
      <c r="M2430" s="1468">
        <v>2.3687E-2</v>
      </c>
      <c r="N2430" s="1469">
        <v>1.6619166380823513</v>
      </c>
      <c r="O2430" s="1469"/>
    </row>
    <row r="2431" spans="11:15">
      <c r="K2431" s="1466">
        <v>44488</v>
      </c>
      <c r="L2431" s="1467" t="s">
        <v>2127</v>
      </c>
      <c r="M2431" s="1468">
        <v>2.3687E-2</v>
      </c>
      <c r="N2431" s="1469">
        <v>1.6623102962764138</v>
      </c>
      <c r="O2431" s="1469"/>
    </row>
    <row r="2432" spans="11:15">
      <c r="K2432" s="1466">
        <v>44489</v>
      </c>
      <c r="L2432" s="1467" t="s">
        <v>2127</v>
      </c>
      <c r="M2432" s="1468">
        <v>2.3687E-2</v>
      </c>
      <c r="N2432" s="1469">
        <v>1.6627040477162927</v>
      </c>
      <c r="O2432" s="1469"/>
    </row>
    <row r="2433" spans="11:15">
      <c r="K2433" s="1466">
        <v>44490</v>
      </c>
      <c r="L2433" s="1467" t="s">
        <v>2127</v>
      </c>
      <c r="M2433" s="1468">
        <v>2.3687E-2</v>
      </c>
      <c r="N2433" s="1469">
        <v>1.6630978924240751</v>
      </c>
      <c r="O2433" s="1469"/>
    </row>
    <row r="2434" spans="11:15">
      <c r="K2434" s="1466">
        <v>44491</v>
      </c>
      <c r="L2434" s="1467" t="s">
        <v>2127</v>
      </c>
      <c r="M2434" s="1468">
        <v>2.3687E-2</v>
      </c>
      <c r="N2434" s="1469">
        <v>1.6634918304218536</v>
      </c>
      <c r="O2434" s="1469"/>
    </row>
    <row r="2435" spans="11:15">
      <c r="K2435" s="1466">
        <v>44492</v>
      </c>
      <c r="L2435" s="1467"/>
      <c r="M2435" s="1468">
        <v>0</v>
      </c>
      <c r="N2435" s="1469">
        <v>1.6634918304218536</v>
      </c>
      <c r="O2435" s="1469"/>
    </row>
    <row r="2436" spans="11:15">
      <c r="K2436" s="1466">
        <v>44493</v>
      </c>
      <c r="L2436" s="1467"/>
      <c r="M2436" s="1468">
        <v>0</v>
      </c>
      <c r="N2436" s="1469">
        <v>1.6634918304218536</v>
      </c>
      <c r="O2436" s="1469"/>
    </row>
    <row r="2437" spans="11:15">
      <c r="K2437" s="1466">
        <v>44494</v>
      </c>
      <c r="L2437" s="1467" t="s">
        <v>2127</v>
      </c>
      <c r="M2437" s="1468">
        <v>2.3687E-2</v>
      </c>
      <c r="N2437" s="1469">
        <v>1.6638858617317256</v>
      </c>
      <c r="O2437" s="1469"/>
    </row>
    <row r="2438" spans="11:15">
      <c r="K2438" s="1466">
        <v>44495</v>
      </c>
      <c r="L2438" s="1467" t="s">
        <v>2127</v>
      </c>
      <c r="M2438" s="1468">
        <v>2.3687E-2</v>
      </c>
      <c r="N2438" s="1469">
        <v>1.664279986375794</v>
      </c>
      <c r="O2438" s="1469"/>
    </row>
    <row r="2439" spans="11:15">
      <c r="K2439" s="1466">
        <v>44496</v>
      </c>
      <c r="L2439" s="1467" t="s">
        <v>2127</v>
      </c>
      <c r="M2439" s="1468">
        <v>2.3687E-2</v>
      </c>
      <c r="N2439" s="1469">
        <v>1.6646742043761666</v>
      </c>
      <c r="O2439" s="1469"/>
    </row>
    <row r="2440" spans="11:15">
      <c r="K2440" s="1466">
        <v>44497</v>
      </c>
      <c r="L2440" s="1467" t="s">
        <v>2127</v>
      </c>
      <c r="M2440" s="1468">
        <v>2.9256000000000001E-2</v>
      </c>
      <c r="N2440" s="1469">
        <v>1.6651612214613991</v>
      </c>
      <c r="O2440" s="1469"/>
    </row>
    <row r="2441" spans="11:15">
      <c r="K2441" s="1466">
        <v>44498</v>
      </c>
      <c r="L2441" s="1467" t="s">
        <v>2127</v>
      </c>
      <c r="M2441" s="1468">
        <v>2.9256000000000001E-2</v>
      </c>
      <c r="N2441" s="1469">
        <v>1.66564838102835</v>
      </c>
      <c r="O2441" s="1469"/>
    </row>
    <row r="2442" spans="11:15">
      <c r="K2442" s="1466">
        <v>44499</v>
      </c>
      <c r="L2442" s="1467"/>
      <c r="M2442" s="1468">
        <v>0</v>
      </c>
      <c r="N2442" s="1469">
        <v>1.66564838102835</v>
      </c>
      <c r="O2442" s="1469"/>
    </row>
    <row r="2443" spans="11:15">
      <c r="K2443" s="1466">
        <v>44500</v>
      </c>
      <c r="L2443" s="1467"/>
      <c r="M2443" s="1468">
        <v>0</v>
      </c>
      <c r="N2443" s="1469">
        <v>1.66564838102835</v>
      </c>
      <c r="O2443" s="1469"/>
    </row>
    <row r="2444" spans="11:15">
      <c r="K2444" s="1466">
        <v>44501</v>
      </c>
      <c r="L2444" s="1467" t="s">
        <v>2127</v>
      </c>
      <c r="M2444" s="1468">
        <v>2.9256000000000001E-2</v>
      </c>
      <c r="N2444" s="1469">
        <v>1.6661356831187037</v>
      </c>
      <c r="O2444" s="1469"/>
    </row>
    <row r="2445" spans="11:15">
      <c r="K2445" s="1466">
        <v>44502</v>
      </c>
      <c r="L2445" s="1467"/>
      <c r="M2445" s="1468">
        <v>0</v>
      </c>
      <c r="N2445" s="1469">
        <v>1.6661356831187037</v>
      </c>
      <c r="O2445" s="1469"/>
    </row>
    <row r="2446" spans="11:15">
      <c r="K2446" s="1466">
        <v>44503</v>
      </c>
      <c r="L2446" s="1467" t="s">
        <v>2127</v>
      </c>
      <c r="M2446" s="1468">
        <v>2.9256000000000001E-2</v>
      </c>
      <c r="N2446" s="1469">
        <v>1.6666231277741572</v>
      </c>
      <c r="O2446" s="1469"/>
    </row>
    <row r="2447" spans="11:15">
      <c r="K2447" s="1466">
        <v>44504</v>
      </c>
      <c r="L2447" s="1467" t="s">
        <v>2127</v>
      </c>
      <c r="M2447" s="1468">
        <v>2.9256000000000001E-2</v>
      </c>
      <c r="N2447" s="1469">
        <v>1.6671107150364191</v>
      </c>
      <c r="O2447" s="1469"/>
    </row>
    <row r="2448" spans="11:15">
      <c r="K2448" s="1466">
        <v>44505</v>
      </c>
      <c r="L2448" s="1467" t="s">
        <v>2127</v>
      </c>
      <c r="M2448" s="1468">
        <v>2.9256000000000001E-2</v>
      </c>
      <c r="N2448" s="1469">
        <v>1.6675984449472103</v>
      </c>
      <c r="O2448" s="1469"/>
    </row>
    <row r="2449" spans="11:15">
      <c r="K2449" s="1466">
        <v>44506</v>
      </c>
      <c r="L2449" s="1467"/>
      <c r="M2449" s="1468">
        <v>0</v>
      </c>
      <c r="N2449" s="1469">
        <v>1.6675984449472103</v>
      </c>
      <c r="O2449" s="1469"/>
    </row>
    <row r="2450" spans="11:15">
      <c r="K2450" s="1466">
        <v>44507</v>
      </c>
      <c r="L2450" s="1467"/>
      <c r="M2450" s="1468">
        <v>0</v>
      </c>
      <c r="N2450" s="1469">
        <v>1.6675984449472103</v>
      </c>
      <c r="O2450" s="1469"/>
    </row>
    <row r="2451" spans="11:15">
      <c r="K2451" s="1466">
        <v>44508</v>
      </c>
      <c r="L2451" s="1467" t="s">
        <v>2127</v>
      </c>
      <c r="M2451" s="1468">
        <v>2.9256000000000001E-2</v>
      </c>
      <c r="N2451" s="1469">
        <v>1.6680863175482643</v>
      </c>
      <c r="O2451" s="1469"/>
    </row>
    <row r="2452" spans="11:15">
      <c r="K2452" s="1466">
        <v>44509</v>
      </c>
      <c r="L2452" s="1467" t="s">
        <v>2127</v>
      </c>
      <c r="M2452" s="1468">
        <v>2.9256000000000001E-2</v>
      </c>
      <c r="N2452" s="1469">
        <v>1.6685743328813265</v>
      </c>
      <c r="O2452" s="1469"/>
    </row>
    <row r="2453" spans="11:15">
      <c r="K2453" s="1466">
        <v>44510</v>
      </c>
      <c r="L2453" s="1467" t="s">
        <v>2127</v>
      </c>
      <c r="M2453" s="1468">
        <v>2.9256000000000001E-2</v>
      </c>
      <c r="N2453" s="1469">
        <v>1.6690624909881544</v>
      </c>
      <c r="O2453" s="1469"/>
    </row>
    <row r="2454" spans="11:15">
      <c r="K2454" s="1466">
        <v>44511</v>
      </c>
      <c r="L2454" s="1467" t="s">
        <v>2127</v>
      </c>
      <c r="M2454" s="1468">
        <v>2.9256000000000001E-2</v>
      </c>
      <c r="N2454" s="1469">
        <v>1.6695507919105181</v>
      </c>
      <c r="O2454" s="1469"/>
    </row>
    <row r="2455" spans="11:15">
      <c r="K2455" s="1466">
        <v>44512</v>
      </c>
      <c r="L2455" s="1467" t="s">
        <v>2127</v>
      </c>
      <c r="M2455" s="1468">
        <v>2.9256000000000001E-2</v>
      </c>
      <c r="N2455" s="1469">
        <v>1.6700392356901996</v>
      </c>
      <c r="O2455" s="1469"/>
    </row>
    <row r="2456" spans="11:15">
      <c r="K2456" s="1466">
        <v>44513</v>
      </c>
      <c r="L2456" s="1467"/>
      <c r="M2456" s="1468">
        <v>0</v>
      </c>
      <c r="N2456" s="1469">
        <v>1.6700392356901996</v>
      </c>
      <c r="O2456" s="1469"/>
    </row>
    <row r="2457" spans="11:15">
      <c r="K2457" s="1466">
        <v>44514</v>
      </c>
      <c r="L2457" s="1467"/>
      <c r="M2457" s="1468">
        <v>0</v>
      </c>
      <c r="N2457" s="1469">
        <v>1.6700392356901996</v>
      </c>
      <c r="O2457" s="1469"/>
    </row>
    <row r="2458" spans="11:15">
      <c r="K2458" s="1466">
        <v>44515</v>
      </c>
      <c r="L2458" s="1467"/>
      <c r="M2458" s="1468">
        <v>0</v>
      </c>
      <c r="N2458" s="1469">
        <v>1.6700392356901996</v>
      </c>
      <c r="O2458" s="1469"/>
    </row>
    <row r="2459" spans="11:15">
      <c r="K2459" s="1466">
        <v>44516</v>
      </c>
      <c r="L2459" s="1467" t="s">
        <v>2127</v>
      </c>
      <c r="M2459" s="1468">
        <v>2.9256000000000001E-2</v>
      </c>
      <c r="N2459" s="1469">
        <v>1.6705278223689934</v>
      </c>
      <c r="O2459" s="1469"/>
    </row>
    <row r="2460" spans="11:15">
      <c r="K2460" s="1466">
        <v>44517</v>
      </c>
      <c r="L2460" s="1467" t="s">
        <v>2127</v>
      </c>
      <c r="M2460" s="1468">
        <v>2.9256000000000001E-2</v>
      </c>
      <c r="N2460" s="1469">
        <v>1.6710165519887059</v>
      </c>
      <c r="O2460" s="1469"/>
    </row>
    <row r="2461" spans="11:15">
      <c r="K2461" s="1466">
        <v>44518</v>
      </c>
      <c r="L2461" s="1467" t="s">
        <v>2127</v>
      </c>
      <c r="M2461" s="1468">
        <v>2.9256000000000001E-2</v>
      </c>
      <c r="N2461" s="1469">
        <v>1.6715054245911558</v>
      </c>
      <c r="O2461" s="1469"/>
    </row>
    <row r="2462" spans="11:15">
      <c r="K2462" s="1466">
        <v>44519</v>
      </c>
      <c r="L2462" s="1467" t="s">
        <v>2127</v>
      </c>
      <c r="M2462" s="1468">
        <v>2.9256000000000001E-2</v>
      </c>
      <c r="N2462" s="1469">
        <v>1.6719944402181743</v>
      </c>
      <c r="O2462" s="1469"/>
    </row>
    <row r="2463" spans="11:15">
      <c r="K2463" s="1466">
        <v>44520</v>
      </c>
      <c r="L2463" s="1467"/>
      <c r="M2463" s="1468">
        <v>0</v>
      </c>
      <c r="N2463" s="1469">
        <v>1.6719944402181743</v>
      </c>
      <c r="O2463" s="1469"/>
    </row>
    <row r="2464" spans="11:15">
      <c r="K2464" s="1466">
        <v>44521</v>
      </c>
      <c r="L2464" s="1467"/>
      <c r="M2464" s="1468">
        <v>0</v>
      </c>
      <c r="N2464" s="1469">
        <v>1.6719944402181743</v>
      </c>
      <c r="O2464" s="1469"/>
    </row>
    <row r="2465" spans="11:15">
      <c r="K2465" s="1466">
        <v>44522</v>
      </c>
      <c r="L2465" s="1467" t="s">
        <v>2127</v>
      </c>
      <c r="M2465" s="1468">
        <v>2.9256000000000001E-2</v>
      </c>
      <c r="N2465" s="1469">
        <v>1.6724835989116047</v>
      </c>
      <c r="O2465" s="1469"/>
    </row>
    <row r="2466" spans="11:15">
      <c r="K2466" s="1466">
        <v>44523</v>
      </c>
      <c r="L2466" s="1467" t="s">
        <v>2127</v>
      </c>
      <c r="M2466" s="1468">
        <v>2.9256000000000001E-2</v>
      </c>
      <c r="N2466" s="1469">
        <v>1.6729729007133025</v>
      </c>
      <c r="O2466" s="1469"/>
    </row>
    <row r="2467" spans="11:15">
      <c r="K2467" s="1466">
        <v>44524</v>
      </c>
      <c r="L2467" s="1467" t="s">
        <v>2127</v>
      </c>
      <c r="M2467" s="1468">
        <v>2.9256000000000001E-2</v>
      </c>
      <c r="N2467" s="1469">
        <v>1.6734623456651354</v>
      </c>
      <c r="O2467" s="1469"/>
    </row>
    <row r="2468" spans="11:15">
      <c r="K2468" s="1466">
        <v>44525</v>
      </c>
      <c r="L2468" s="1467" t="s">
        <v>2127</v>
      </c>
      <c r="M2468" s="1468">
        <v>2.9256000000000001E-2</v>
      </c>
      <c r="N2468" s="1469">
        <v>1.6739519338089834</v>
      </c>
      <c r="O2468" s="1469"/>
    </row>
    <row r="2469" spans="11:15">
      <c r="K2469" s="1466">
        <v>44526</v>
      </c>
      <c r="L2469" s="1467" t="s">
        <v>2127</v>
      </c>
      <c r="M2469" s="1468">
        <v>2.9256000000000001E-2</v>
      </c>
      <c r="N2469" s="1469">
        <v>1.6744416651867389</v>
      </c>
      <c r="O2469" s="1469"/>
    </row>
    <row r="2470" spans="11:15">
      <c r="K2470" s="1466">
        <v>44527</v>
      </c>
      <c r="L2470" s="1467"/>
      <c r="M2470" s="1468">
        <v>0</v>
      </c>
      <c r="N2470" s="1469">
        <v>1.6744416651867389</v>
      </c>
      <c r="O2470" s="1469"/>
    </row>
    <row r="2471" spans="11:15">
      <c r="K2471" s="1466">
        <v>44528</v>
      </c>
      <c r="L2471" s="1467"/>
      <c r="M2471" s="1468">
        <v>0</v>
      </c>
      <c r="N2471" s="1469">
        <v>1.6744416651867389</v>
      </c>
      <c r="O2471" s="1469"/>
    </row>
    <row r="2472" spans="11:15">
      <c r="K2472" s="1466">
        <v>44529</v>
      </c>
      <c r="L2472" s="1467" t="s">
        <v>2127</v>
      </c>
      <c r="M2472" s="1468">
        <v>2.9256000000000001E-2</v>
      </c>
      <c r="N2472" s="1469">
        <v>1.6749315398403062</v>
      </c>
      <c r="O2472" s="1469"/>
    </row>
    <row r="2473" spans="11:15">
      <c r="K2473" s="1466">
        <v>44530</v>
      </c>
      <c r="L2473" s="1467" t="s">
        <v>2127</v>
      </c>
      <c r="M2473" s="1468">
        <v>2.9256000000000001E-2</v>
      </c>
      <c r="N2473" s="1469">
        <v>1.6754215578116021</v>
      </c>
      <c r="O2473" s="1469"/>
    </row>
    <row r="2474" spans="11:15">
      <c r="K2474" s="1466">
        <v>44531</v>
      </c>
      <c r="L2474" s="1467" t="s">
        <v>2127</v>
      </c>
      <c r="M2474" s="1468">
        <v>2.9256000000000001E-2</v>
      </c>
      <c r="N2474" s="1469">
        <v>1.6759117191425557</v>
      </c>
      <c r="O2474" s="1469"/>
    </row>
    <row r="2475" spans="11:15">
      <c r="K2475" s="1466">
        <v>44532</v>
      </c>
      <c r="L2475" s="1467" t="s">
        <v>2127</v>
      </c>
      <c r="M2475" s="1468">
        <v>2.9256000000000001E-2</v>
      </c>
      <c r="N2475" s="1469">
        <v>1.6764020238751083</v>
      </c>
      <c r="O2475" s="1469"/>
    </row>
    <row r="2476" spans="11:15">
      <c r="K2476" s="1466">
        <v>44533</v>
      </c>
      <c r="L2476" s="1467" t="s">
        <v>2127</v>
      </c>
      <c r="M2476" s="1468">
        <v>2.9256000000000001E-2</v>
      </c>
      <c r="N2476" s="1469">
        <v>1.6768924720512133</v>
      </c>
      <c r="O2476" s="1469"/>
    </row>
    <row r="2477" spans="11:15">
      <c r="K2477" s="1466">
        <v>44534</v>
      </c>
      <c r="L2477" s="1467"/>
      <c r="M2477" s="1468">
        <v>0</v>
      </c>
      <c r="N2477" s="1469">
        <v>1.6768924720512133</v>
      </c>
      <c r="O2477" s="1469"/>
    </row>
    <row r="2478" spans="11:15">
      <c r="K2478" s="1466">
        <v>44535</v>
      </c>
      <c r="L2478" s="1467"/>
      <c r="M2478" s="1468">
        <v>0</v>
      </c>
      <c r="N2478" s="1469">
        <v>1.6768924720512133</v>
      </c>
      <c r="O2478" s="1469"/>
    </row>
    <row r="2479" spans="11:15">
      <c r="K2479" s="1466">
        <v>44536</v>
      </c>
      <c r="L2479" s="1467" t="s">
        <v>2127</v>
      </c>
      <c r="M2479" s="1468">
        <v>2.9256000000000001E-2</v>
      </c>
      <c r="N2479" s="1469">
        <v>1.6773830637128369</v>
      </c>
      <c r="O2479" s="1469"/>
    </row>
    <row r="2480" spans="11:15">
      <c r="K2480" s="1466">
        <v>44537</v>
      </c>
      <c r="L2480" s="1467" t="s">
        <v>2127</v>
      </c>
      <c r="M2480" s="1468">
        <v>2.9256000000000001E-2</v>
      </c>
      <c r="N2480" s="1469">
        <v>1.6778737989019568</v>
      </c>
      <c r="O2480" s="1469"/>
    </row>
    <row r="2481" spans="11:15">
      <c r="K2481" s="1466">
        <v>44538</v>
      </c>
      <c r="L2481" s="1467" t="s">
        <v>2127</v>
      </c>
      <c r="M2481" s="1468">
        <v>2.9256000000000001E-2</v>
      </c>
      <c r="N2481" s="1469">
        <v>1.6783646776605636</v>
      </c>
      <c r="O2481" s="1469"/>
    </row>
    <row r="2482" spans="11:15">
      <c r="K2482" s="1466">
        <v>44539</v>
      </c>
      <c r="L2482" s="1467" t="s">
        <v>2127</v>
      </c>
      <c r="M2482" s="1468">
        <v>3.4749000000000002E-2</v>
      </c>
      <c r="N2482" s="1469">
        <v>1.678947892602404</v>
      </c>
      <c r="O2482" s="1469"/>
    </row>
    <row r="2483" spans="11:15">
      <c r="K2483" s="1466">
        <v>44540</v>
      </c>
      <c r="L2483" s="1467" t="s">
        <v>2127</v>
      </c>
      <c r="M2483" s="1468">
        <v>3.4749000000000002E-2</v>
      </c>
      <c r="N2483" s="1469">
        <v>1.6795313102056044</v>
      </c>
      <c r="O2483" s="1469"/>
    </row>
    <row r="2484" spans="11:15">
      <c r="K2484" s="1466">
        <v>44541</v>
      </c>
      <c r="L2484" s="1467"/>
      <c r="M2484" s="1468">
        <v>0</v>
      </c>
      <c r="N2484" s="1469">
        <v>1.6795313102056044</v>
      </c>
      <c r="O2484" s="1469"/>
    </row>
    <row r="2485" spans="11:15">
      <c r="K2485" s="1466">
        <v>44542</v>
      </c>
      <c r="L2485" s="1467"/>
      <c r="M2485" s="1468">
        <v>0</v>
      </c>
      <c r="N2485" s="1469">
        <v>1.6795313102056044</v>
      </c>
      <c r="O2485" s="1469"/>
    </row>
    <row r="2486" spans="11:15">
      <c r="K2486" s="1466">
        <v>44543</v>
      </c>
      <c r="L2486" s="1467" t="s">
        <v>2127</v>
      </c>
      <c r="M2486" s="1468">
        <v>3.4749000000000002E-2</v>
      </c>
      <c r="N2486" s="1469">
        <v>1.6801149305405878</v>
      </c>
      <c r="O2486" s="1469"/>
    </row>
    <row r="2487" spans="11:15">
      <c r="K2487" s="1466">
        <v>44544</v>
      </c>
      <c r="L2487" s="1467" t="s">
        <v>2127</v>
      </c>
      <c r="M2487" s="1468">
        <v>3.4749000000000002E-2</v>
      </c>
      <c r="N2487" s="1469">
        <v>1.6806987536778013</v>
      </c>
      <c r="O2487" s="1469"/>
    </row>
    <row r="2488" spans="11:15">
      <c r="K2488" s="1466">
        <v>44545</v>
      </c>
      <c r="L2488" s="1467" t="s">
        <v>2127</v>
      </c>
      <c r="M2488" s="1468">
        <v>3.4749000000000002E-2</v>
      </c>
      <c r="N2488" s="1469">
        <v>1.6812827796877168</v>
      </c>
      <c r="O2488" s="1469"/>
    </row>
    <row r="2489" spans="11:15">
      <c r="K2489" s="1466">
        <v>44546</v>
      </c>
      <c r="L2489" s="1467" t="s">
        <v>2127</v>
      </c>
      <c r="M2489" s="1468">
        <v>3.4749000000000002E-2</v>
      </c>
      <c r="N2489" s="1469">
        <v>1.6818670086408305</v>
      </c>
      <c r="O2489" s="1469"/>
    </row>
    <row r="2490" spans="11:15">
      <c r="K2490" s="1466">
        <v>44547</v>
      </c>
      <c r="L2490" s="1467" t="s">
        <v>2127</v>
      </c>
      <c r="M2490" s="1468">
        <v>3.4749000000000002E-2</v>
      </c>
      <c r="N2490" s="1469">
        <v>1.6824514406076632</v>
      </c>
      <c r="O2490" s="1469"/>
    </row>
    <row r="2491" spans="11:15">
      <c r="K2491" s="1466">
        <v>44548</v>
      </c>
      <c r="L2491" s="1467"/>
      <c r="M2491" s="1468">
        <v>0</v>
      </c>
      <c r="N2491" s="1469">
        <v>1.6824514406076632</v>
      </c>
      <c r="O2491" s="1469"/>
    </row>
    <row r="2492" spans="11:15">
      <c r="K2492" s="1466">
        <v>44549</v>
      </c>
      <c r="L2492" s="1467"/>
      <c r="M2492" s="1468">
        <v>0</v>
      </c>
      <c r="N2492" s="1469">
        <v>1.6824514406076632</v>
      </c>
      <c r="O2492" s="1469"/>
    </row>
    <row r="2493" spans="11:15">
      <c r="K2493" s="1466">
        <v>44550</v>
      </c>
      <c r="L2493" s="1467" t="s">
        <v>2127</v>
      </c>
      <c r="M2493" s="1468">
        <v>3.4749000000000002E-2</v>
      </c>
      <c r="N2493" s="1469">
        <v>1.6830360756587599</v>
      </c>
      <c r="O2493" s="1469"/>
    </row>
    <row r="2494" spans="11:15">
      <c r="K2494" s="1466">
        <v>44551</v>
      </c>
      <c r="L2494" s="1467" t="s">
        <v>2127</v>
      </c>
      <c r="M2494" s="1468">
        <v>3.4749000000000002E-2</v>
      </c>
      <c r="N2494" s="1469">
        <v>1.6836209138646905</v>
      </c>
      <c r="O2494" s="1469"/>
    </row>
    <row r="2495" spans="11:15">
      <c r="K2495" s="1466">
        <v>44552</v>
      </c>
      <c r="L2495" s="1467" t="s">
        <v>2127</v>
      </c>
      <c r="M2495" s="1468">
        <v>3.4749000000000002E-2</v>
      </c>
      <c r="N2495" s="1469">
        <v>1.6842059552960493</v>
      </c>
      <c r="O2495" s="1469"/>
    </row>
    <row r="2496" spans="11:15">
      <c r="K2496" s="1466">
        <v>44553</v>
      </c>
      <c r="L2496" s="1467" t="s">
        <v>2127</v>
      </c>
      <c r="M2496" s="1468">
        <v>3.4749000000000002E-2</v>
      </c>
      <c r="N2496" s="1469">
        <v>1.6847912000234551</v>
      </c>
      <c r="O2496" s="1469"/>
    </row>
    <row r="2497" spans="11:15">
      <c r="K2497" s="1466">
        <v>44554</v>
      </c>
      <c r="L2497" s="1467" t="s">
        <v>2127</v>
      </c>
      <c r="M2497" s="1468">
        <v>3.4749000000000002E-2</v>
      </c>
      <c r="N2497" s="1469">
        <v>1.6853766481175512</v>
      </c>
      <c r="O2497" s="1469"/>
    </row>
    <row r="2498" spans="11:15">
      <c r="K2498" s="1466">
        <v>44555</v>
      </c>
      <c r="L2498" s="1467"/>
      <c r="M2498" s="1468">
        <v>0</v>
      </c>
      <c r="N2498" s="1469">
        <v>1.6853766481175512</v>
      </c>
      <c r="O2498" s="1469"/>
    </row>
    <row r="2499" spans="11:15">
      <c r="K2499" s="1466">
        <v>44556</v>
      </c>
      <c r="L2499" s="1467"/>
      <c r="M2499" s="1468">
        <v>0</v>
      </c>
      <c r="N2499" s="1469">
        <v>1.6853766481175512</v>
      </c>
      <c r="O2499" s="1469"/>
    </row>
    <row r="2500" spans="11:15">
      <c r="K2500" s="1466">
        <v>44557</v>
      </c>
      <c r="L2500" s="1467" t="s">
        <v>2127</v>
      </c>
      <c r="M2500" s="1468">
        <v>3.4749000000000002E-2</v>
      </c>
      <c r="N2500" s="1469">
        <v>1.6859622996490056</v>
      </c>
      <c r="O2500" s="1469"/>
    </row>
    <row r="2501" spans="11:15">
      <c r="K2501" s="1466">
        <v>44558</v>
      </c>
      <c r="L2501" s="1467" t="s">
        <v>2127</v>
      </c>
      <c r="M2501" s="1468">
        <v>3.4749000000000002E-2</v>
      </c>
      <c r="N2501" s="1469">
        <v>1.6865481546885106</v>
      </c>
      <c r="O2501" s="1469"/>
    </row>
    <row r="2502" spans="11:15">
      <c r="K2502" s="1466">
        <v>44559</v>
      </c>
      <c r="L2502" s="1467" t="s">
        <v>2127</v>
      </c>
      <c r="M2502" s="1468">
        <v>3.4749000000000002E-2</v>
      </c>
      <c r="N2502" s="1469">
        <v>1.6871342133067833</v>
      </c>
      <c r="O2502" s="1469"/>
    </row>
    <row r="2503" spans="11:15">
      <c r="K2503" s="1466">
        <v>44560</v>
      </c>
      <c r="L2503" s="1467" t="s">
        <v>2127</v>
      </c>
      <c r="M2503" s="1468">
        <v>3.4749000000000002E-2</v>
      </c>
      <c r="N2503" s="1469">
        <v>1.6877204755745652</v>
      </c>
      <c r="O2503" s="1469"/>
    </row>
    <row r="2504" spans="11:15">
      <c r="K2504" s="1466">
        <v>44561</v>
      </c>
      <c r="L2504" s="1467" t="s">
        <v>2127</v>
      </c>
      <c r="M2504" s="1468">
        <v>3.4749000000000002E-2</v>
      </c>
      <c r="N2504" s="1469">
        <v>1.6883069415626226</v>
      </c>
      <c r="O2504" s="1469"/>
    </row>
    <row r="2505" spans="11:15">
      <c r="K2505" s="1466">
        <v>44562</v>
      </c>
      <c r="L2505" s="1467"/>
      <c r="M2505" s="1468">
        <v>0</v>
      </c>
      <c r="N2505" s="1469">
        <v>1.6883069415626226</v>
      </c>
      <c r="O2505" s="1469"/>
    </row>
    <row r="2506" spans="11:15">
      <c r="K2506" s="1466">
        <v>44563</v>
      </c>
      <c r="L2506" s="1467"/>
      <c r="M2506" s="1468">
        <v>0</v>
      </c>
      <c r="N2506" s="1469">
        <v>1.6883069415626226</v>
      </c>
      <c r="O2506" s="1469"/>
    </row>
    <row r="2507" spans="11:15">
      <c r="K2507" s="1466">
        <v>44564</v>
      </c>
      <c r="L2507" s="1467" t="s">
        <v>2127</v>
      </c>
      <c r="M2507" s="1468">
        <v>3.4749000000000002E-2</v>
      </c>
      <c r="N2507" s="1469">
        <v>1.6888936113417463</v>
      </c>
      <c r="O2507" s="1469"/>
    </row>
    <row r="2508" spans="11:15">
      <c r="K2508" s="1466">
        <v>44565</v>
      </c>
      <c r="L2508" s="1467" t="s">
        <v>2127</v>
      </c>
      <c r="M2508" s="1468">
        <v>3.4749000000000002E-2</v>
      </c>
      <c r="N2508" s="1469">
        <v>1.6894804849827514</v>
      </c>
      <c r="O2508" s="1469"/>
    </row>
    <row r="2509" spans="11:15">
      <c r="K2509" s="1466">
        <v>44566</v>
      </c>
      <c r="L2509" s="1467" t="s">
        <v>2127</v>
      </c>
      <c r="M2509" s="1468">
        <v>3.4749000000000002E-2</v>
      </c>
      <c r="N2509" s="1469">
        <v>1.6900675625564781</v>
      </c>
      <c r="O2509" s="1469"/>
    </row>
    <row r="2510" spans="11:15">
      <c r="K2510" s="1466">
        <v>44567</v>
      </c>
      <c r="L2510" s="1467" t="s">
        <v>2127</v>
      </c>
      <c r="M2510" s="1468">
        <v>3.4749000000000002E-2</v>
      </c>
      <c r="N2510" s="1469">
        <v>1.6906548441337907</v>
      </c>
      <c r="O2510" s="1469"/>
    </row>
    <row r="2511" spans="11:15">
      <c r="K2511" s="1466">
        <v>44568</v>
      </c>
      <c r="L2511" s="1467" t="s">
        <v>2127</v>
      </c>
      <c r="M2511" s="1468">
        <v>3.4749000000000002E-2</v>
      </c>
      <c r="N2511" s="1469">
        <v>1.6912423297855788</v>
      </c>
      <c r="O2511" s="1469"/>
    </row>
    <row r="2512" spans="11:15">
      <c r="K2512" s="1466">
        <v>44569</v>
      </c>
      <c r="L2512" s="1467"/>
      <c r="M2512" s="1468">
        <v>0</v>
      </c>
      <c r="N2512" s="1469">
        <v>1.6912423297855788</v>
      </c>
      <c r="O2512" s="1469"/>
    </row>
    <row r="2513" spans="11:15">
      <c r="K2513" s="1466">
        <v>44570</v>
      </c>
      <c r="L2513" s="1467"/>
      <c r="M2513" s="1468">
        <v>0</v>
      </c>
      <c r="N2513" s="1469">
        <v>1.6912423297855788</v>
      </c>
      <c r="O2513" s="1469"/>
    </row>
    <row r="2514" spans="11:15">
      <c r="K2514" s="1466">
        <v>44571</v>
      </c>
      <c r="L2514" s="1467" t="s">
        <v>2127</v>
      </c>
      <c r="M2514" s="1468">
        <v>3.4749000000000002E-2</v>
      </c>
      <c r="N2514" s="1469">
        <v>1.691830019582756</v>
      </c>
      <c r="O2514" s="1469"/>
    </row>
    <row r="2515" spans="11:15">
      <c r="K2515" s="1466">
        <v>44572</v>
      </c>
      <c r="L2515" s="1467" t="s">
        <v>2127</v>
      </c>
      <c r="M2515" s="1468">
        <v>3.4749000000000002E-2</v>
      </c>
      <c r="N2515" s="1469">
        <v>1.6924179135962609</v>
      </c>
      <c r="O2515" s="1469"/>
    </row>
    <row r="2516" spans="11:15">
      <c r="K2516" s="1466">
        <v>44573</v>
      </c>
      <c r="L2516" s="1467" t="s">
        <v>2127</v>
      </c>
      <c r="M2516" s="1468">
        <v>3.4749000000000002E-2</v>
      </c>
      <c r="N2516" s="1469">
        <v>1.6930060118970565</v>
      </c>
      <c r="O2516" s="1469"/>
    </row>
    <row r="2517" spans="11:15">
      <c r="K2517" s="1466">
        <v>44574</v>
      </c>
      <c r="L2517" s="1467" t="s">
        <v>2127</v>
      </c>
      <c r="M2517" s="1468">
        <v>3.4749000000000002E-2</v>
      </c>
      <c r="N2517" s="1469">
        <v>1.6935943145561305</v>
      </c>
      <c r="O2517" s="1469"/>
    </row>
    <row r="2518" spans="11:15">
      <c r="K2518" s="1466">
        <v>44575</v>
      </c>
      <c r="L2518" s="1467" t="s">
        <v>2127</v>
      </c>
      <c r="M2518" s="1468">
        <v>3.4749000000000002E-2</v>
      </c>
      <c r="N2518" s="1469">
        <v>1.6941828216444956</v>
      </c>
      <c r="O2518" s="1469"/>
    </row>
    <row r="2519" spans="11:15">
      <c r="K2519" s="1466">
        <v>44576</v>
      </c>
      <c r="L2519" s="1467"/>
      <c r="M2519" s="1468">
        <v>0</v>
      </c>
      <c r="N2519" s="1469">
        <v>1.6941828216444956</v>
      </c>
      <c r="O2519" s="1469"/>
    </row>
    <row r="2520" spans="11:15">
      <c r="K2520" s="1466">
        <v>44577</v>
      </c>
      <c r="L2520" s="1467"/>
      <c r="M2520" s="1468">
        <v>0</v>
      </c>
      <c r="N2520" s="1469">
        <v>1.6941828216444956</v>
      </c>
      <c r="O2520" s="1469"/>
    </row>
    <row r="2521" spans="11:15">
      <c r="K2521" s="1466">
        <v>44578</v>
      </c>
      <c r="L2521" s="1467" t="s">
        <v>2127</v>
      </c>
      <c r="M2521" s="1468">
        <v>3.4749000000000002E-2</v>
      </c>
      <c r="N2521" s="1469">
        <v>1.694771533233189</v>
      </c>
      <c r="O2521" s="1469"/>
    </row>
    <row r="2522" spans="11:15">
      <c r="K2522" s="1466">
        <v>44579</v>
      </c>
      <c r="L2522" s="1467" t="s">
        <v>2127</v>
      </c>
      <c r="M2522" s="1468">
        <v>3.4749000000000002E-2</v>
      </c>
      <c r="N2522" s="1469">
        <v>1.6953604493932721</v>
      </c>
      <c r="O2522" s="1469"/>
    </row>
    <row r="2523" spans="11:15">
      <c r="K2523" s="1466">
        <v>44580</v>
      </c>
      <c r="L2523" s="1467" t="s">
        <v>2127</v>
      </c>
      <c r="M2523" s="1468">
        <v>3.4749000000000002E-2</v>
      </c>
      <c r="N2523" s="1469">
        <v>1.6959495701958318</v>
      </c>
      <c r="O2523" s="1469"/>
    </row>
    <row r="2524" spans="11:15">
      <c r="K2524" s="1466">
        <v>44581</v>
      </c>
      <c r="L2524" s="1467" t="s">
        <v>2127</v>
      </c>
      <c r="M2524" s="1468">
        <v>3.4749000000000002E-2</v>
      </c>
      <c r="N2524" s="1469">
        <v>1.6965388957119791</v>
      </c>
      <c r="O2524" s="1469"/>
    </row>
    <row r="2525" spans="11:15">
      <c r="K2525" s="1466">
        <v>44582</v>
      </c>
      <c r="L2525" s="1467" t="s">
        <v>2127</v>
      </c>
      <c r="M2525" s="1468">
        <v>3.4749000000000002E-2</v>
      </c>
      <c r="N2525" s="1469">
        <v>1.6971284260128501</v>
      </c>
      <c r="O2525" s="1469"/>
    </row>
    <row r="2526" spans="11:15">
      <c r="K2526" s="1466">
        <v>44583</v>
      </c>
      <c r="L2526" s="1467"/>
      <c r="M2526" s="1468">
        <v>0</v>
      </c>
      <c r="N2526" s="1469">
        <v>1.6971284260128501</v>
      </c>
      <c r="O2526" s="1469"/>
    </row>
    <row r="2527" spans="11:15">
      <c r="K2527" s="1466">
        <v>44584</v>
      </c>
      <c r="L2527" s="1467"/>
      <c r="M2527" s="1468">
        <v>0</v>
      </c>
      <c r="N2527" s="1469">
        <v>1.6971284260128501</v>
      </c>
      <c r="O2527" s="1469"/>
    </row>
    <row r="2528" spans="11:15">
      <c r="K2528" s="1466">
        <v>44585</v>
      </c>
      <c r="L2528" s="1467" t="s">
        <v>2127</v>
      </c>
      <c r="M2528" s="1468">
        <v>3.4749000000000002E-2</v>
      </c>
      <c r="N2528" s="1469">
        <v>1.6977181611696053</v>
      </c>
      <c r="O2528" s="1469"/>
    </row>
    <row r="2529" spans="11:15">
      <c r="K2529" s="1466">
        <v>44586</v>
      </c>
      <c r="L2529" s="1467" t="s">
        <v>2127</v>
      </c>
      <c r="M2529" s="1468">
        <v>3.4749000000000002E-2</v>
      </c>
      <c r="N2529" s="1469">
        <v>1.69830810125343</v>
      </c>
      <c r="O2529" s="1469"/>
    </row>
    <row r="2530" spans="11:15">
      <c r="K2530" s="1466">
        <v>44587</v>
      </c>
      <c r="L2530" s="1467" t="s">
        <v>2127</v>
      </c>
      <c r="M2530" s="1468">
        <v>3.4749000000000002E-2</v>
      </c>
      <c r="N2530" s="1469">
        <v>1.6988982463355347</v>
      </c>
      <c r="O2530" s="1469"/>
    </row>
    <row r="2531" spans="11:15">
      <c r="K2531" s="1466">
        <v>44588</v>
      </c>
      <c r="L2531" s="1467" t="s">
        <v>2127</v>
      </c>
      <c r="M2531" s="1468">
        <v>3.4749000000000002E-2</v>
      </c>
      <c r="N2531" s="1469">
        <v>1.6994885964871538</v>
      </c>
      <c r="O2531" s="1469"/>
    </row>
    <row r="2532" spans="11:15">
      <c r="K2532" s="1466">
        <v>44589</v>
      </c>
      <c r="L2532" s="1467" t="s">
        <v>2127</v>
      </c>
      <c r="M2532" s="1468">
        <v>3.4749000000000002E-2</v>
      </c>
      <c r="N2532" s="1469">
        <v>1.700079151779547</v>
      </c>
      <c r="O2532" s="1469"/>
    </row>
    <row r="2533" spans="11:15">
      <c r="K2533" s="1466">
        <v>44590</v>
      </c>
      <c r="L2533" s="1467"/>
      <c r="M2533" s="1468">
        <v>0</v>
      </c>
      <c r="N2533" s="1469">
        <v>1.700079151779547</v>
      </c>
      <c r="O2533" s="1469"/>
    </row>
    <row r="2534" spans="11:15">
      <c r="K2534" s="1466">
        <v>44591</v>
      </c>
      <c r="L2534" s="1467"/>
      <c r="M2534" s="1468">
        <v>0</v>
      </c>
      <c r="N2534" s="1469">
        <v>1.700079151779547</v>
      </c>
      <c r="O2534" s="1469"/>
    </row>
    <row r="2535" spans="11:15">
      <c r="K2535" s="1466">
        <v>44592</v>
      </c>
      <c r="L2535" s="1467" t="s">
        <v>2127</v>
      </c>
      <c r="M2535" s="1468">
        <v>3.4749000000000002E-2</v>
      </c>
      <c r="N2535" s="1469">
        <v>1.700669912283999</v>
      </c>
      <c r="O2535" s="1469"/>
    </row>
    <row r="2536" spans="11:15">
      <c r="K2536" s="1466">
        <v>44593</v>
      </c>
      <c r="L2536" s="1467" t="s">
        <v>2127</v>
      </c>
      <c r="M2536" s="1468">
        <v>3.4749000000000002E-2</v>
      </c>
      <c r="N2536" s="1469">
        <v>1.7012608780718186</v>
      </c>
      <c r="O2536" s="1469"/>
    </row>
    <row r="2537" spans="11:15">
      <c r="K2537" s="1466">
        <v>44594</v>
      </c>
      <c r="L2537" s="1467" t="s">
        <v>2127</v>
      </c>
      <c r="M2537" s="1468">
        <v>3.4749000000000002E-2</v>
      </c>
      <c r="N2537" s="1469">
        <v>1.7018520492143399</v>
      </c>
      <c r="O2537" s="1469"/>
    </row>
    <row r="2538" spans="11:15">
      <c r="K2538" s="1466">
        <v>44595</v>
      </c>
      <c r="L2538" s="1467" t="s">
        <v>2127</v>
      </c>
      <c r="M2538" s="1468">
        <v>4.0168000000000002E-2</v>
      </c>
      <c r="N2538" s="1469">
        <v>1.7025356491454682</v>
      </c>
      <c r="O2538" s="1469"/>
    </row>
    <row r="2539" spans="11:15">
      <c r="K2539" s="1466">
        <v>44596</v>
      </c>
      <c r="L2539" s="1467" t="s">
        <v>2127</v>
      </c>
      <c r="M2539" s="1468">
        <v>4.0168000000000002E-2</v>
      </c>
      <c r="N2539" s="1469">
        <v>1.7032195236650169</v>
      </c>
      <c r="O2539" s="1469"/>
    </row>
    <row r="2540" spans="11:15">
      <c r="K2540" s="1466">
        <v>44597</v>
      </c>
      <c r="L2540" s="1467"/>
      <c r="M2540" s="1468">
        <v>0</v>
      </c>
      <c r="N2540" s="1469">
        <v>1.7032195236650169</v>
      </c>
      <c r="O2540" s="1469"/>
    </row>
    <row r="2541" spans="11:15">
      <c r="K2541" s="1466">
        <v>44598</v>
      </c>
      <c r="L2541" s="1467"/>
      <c r="M2541" s="1468">
        <v>0</v>
      </c>
      <c r="N2541" s="1469">
        <v>1.7032195236650169</v>
      </c>
      <c r="O2541" s="1469"/>
    </row>
    <row r="2542" spans="11:15">
      <c r="K2542" s="1466">
        <v>44599</v>
      </c>
      <c r="L2542" s="1467" t="s">
        <v>2127</v>
      </c>
      <c r="M2542" s="1468">
        <v>4.0168000000000002E-2</v>
      </c>
      <c r="N2542" s="1469">
        <v>1.7039036728832826</v>
      </c>
      <c r="O2542" s="1469"/>
    </row>
    <row r="2543" spans="11:15">
      <c r="K2543" s="1466">
        <v>44600</v>
      </c>
      <c r="L2543" s="1467" t="s">
        <v>2127</v>
      </c>
      <c r="M2543" s="1468">
        <v>4.0168000000000002E-2</v>
      </c>
      <c r="N2543" s="1469">
        <v>1.7045880969106062</v>
      </c>
      <c r="O2543" s="1469"/>
    </row>
    <row r="2544" spans="11:15">
      <c r="K2544" s="1466">
        <v>44601</v>
      </c>
      <c r="L2544" s="1467" t="s">
        <v>2127</v>
      </c>
      <c r="M2544" s="1468">
        <v>4.0168000000000002E-2</v>
      </c>
      <c r="N2544" s="1469">
        <v>1.7052727958573732</v>
      </c>
      <c r="O2544" s="1469"/>
    </row>
    <row r="2545" spans="11:15">
      <c r="K2545" s="1466">
        <v>44602</v>
      </c>
      <c r="L2545" s="1467" t="s">
        <v>2127</v>
      </c>
      <c r="M2545" s="1468">
        <v>4.0168000000000002E-2</v>
      </c>
      <c r="N2545" s="1469">
        <v>1.7059577698340131</v>
      </c>
      <c r="O2545" s="1469"/>
    </row>
    <row r="2546" spans="11:15">
      <c r="K2546" s="1466">
        <v>44603</v>
      </c>
      <c r="L2546" s="1467" t="s">
        <v>2127</v>
      </c>
      <c r="M2546" s="1468">
        <v>4.0168000000000002E-2</v>
      </c>
      <c r="N2546" s="1469">
        <v>1.706643018951</v>
      </c>
      <c r="O2546" s="1469"/>
    </row>
    <row r="2547" spans="11:15">
      <c r="K2547" s="1466">
        <v>44604</v>
      </c>
      <c r="L2547" s="1467"/>
      <c r="M2547" s="1468">
        <v>0</v>
      </c>
      <c r="N2547" s="1469">
        <v>1.706643018951</v>
      </c>
      <c r="O2547" s="1469"/>
    </row>
    <row r="2548" spans="11:15">
      <c r="K2548" s="1466">
        <v>44605</v>
      </c>
      <c r="L2548" s="1467"/>
      <c r="M2548" s="1468">
        <v>0</v>
      </c>
      <c r="N2548" s="1469">
        <v>1.706643018951</v>
      </c>
      <c r="O2548" s="1469"/>
    </row>
    <row r="2549" spans="11:15">
      <c r="K2549" s="1466">
        <v>44606</v>
      </c>
      <c r="L2549" s="1467" t="s">
        <v>2127</v>
      </c>
      <c r="M2549" s="1468">
        <v>4.0168000000000002E-2</v>
      </c>
      <c r="N2549" s="1469">
        <v>1.7073285433188521</v>
      </c>
      <c r="O2549" s="1469"/>
    </row>
    <row r="2550" spans="11:15">
      <c r="K2550" s="1466">
        <v>44607</v>
      </c>
      <c r="L2550" s="1467" t="s">
        <v>2127</v>
      </c>
      <c r="M2550" s="1468">
        <v>4.0168000000000002E-2</v>
      </c>
      <c r="N2550" s="1469">
        <v>1.7080143430481323</v>
      </c>
      <c r="O2550" s="1469"/>
    </row>
    <row r="2551" spans="11:15">
      <c r="K2551" s="1466">
        <v>44608</v>
      </c>
      <c r="L2551" s="1467" t="s">
        <v>2127</v>
      </c>
      <c r="M2551" s="1468">
        <v>4.0168000000000002E-2</v>
      </c>
      <c r="N2551" s="1469">
        <v>1.7087004182494478</v>
      </c>
      <c r="O2551" s="1469"/>
    </row>
    <row r="2552" spans="11:15">
      <c r="K2552" s="1466">
        <v>44609</v>
      </c>
      <c r="L2552" s="1467" t="s">
        <v>2127</v>
      </c>
      <c r="M2552" s="1468">
        <v>4.0168000000000002E-2</v>
      </c>
      <c r="N2552" s="1469">
        <v>1.7093867690334503</v>
      </c>
      <c r="O2552" s="1469"/>
    </row>
    <row r="2553" spans="11:15">
      <c r="K2553" s="1466">
        <v>44610</v>
      </c>
      <c r="L2553" s="1467" t="s">
        <v>2127</v>
      </c>
      <c r="M2553" s="1468">
        <v>4.0168000000000002E-2</v>
      </c>
      <c r="N2553" s="1469">
        <v>1.7100733955108356</v>
      </c>
      <c r="O2553" s="1469"/>
    </row>
    <row r="2554" spans="11:15">
      <c r="K2554" s="1466">
        <v>44611</v>
      </c>
      <c r="L2554" s="1467"/>
      <c r="M2554" s="1468">
        <v>0</v>
      </c>
      <c r="N2554" s="1469">
        <v>1.7100733955108356</v>
      </c>
      <c r="O2554" s="1469"/>
    </row>
    <row r="2555" spans="11:15">
      <c r="K2555" s="1466">
        <v>44612</v>
      </c>
      <c r="L2555" s="1467"/>
      <c r="M2555" s="1468">
        <v>0</v>
      </c>
      <c r="N2555" s="1469">
        <v>1.7100733955108356</v>
      </c>
      <c r="O2555" s="1469"/>
    </row>
    <row r="2556" spans="11:15">
      <c r="K2556" s="1466">
        <v>44613</v>
      </c>
      <c r="L2556" s="1467" t="s">
        <v>2127</v>
      </c>
      <c r="M2556" s="1468">
        <v>4.0168000000000002E-2</v>
      </c>
      <c r="N2556" s="1469">
        <v>1.7107602977923444</v>
      </c>
      <c r="O2556" s="1469"/>
    </row>
    <row r="2557" spans="11:15">
      <c r="K2557" s="1466">
        <v>44614</v>
      </c>
      <c r="L2557" s="1467" t="s">
        <v>2127</v>
      </c>
      <c r="M2557" s="1468">
        <v>4.0168000000000002E-2</v>
      </c>
      <c r="N2557" s="1469">
        <v>1.7114474759887615</v>
      </c>
      <c r="O2557" s="1469"/>
    </row>
    <row r="2558" spans="11:15">
      <c r="K2558" s="1466">
        <v>44615</v>
      </c>
      <c r="L2558" s="1467" t="s">
        <v>2127</v>
      </c>
      <c r="M2558" s="1468">
        <v>4.0168000000000002E-2</v>
      </c>
      <c r="N2558" s="1469">
        <v>1.7121349302109166</v>
      </c>
      <c r="O2558" s="1469"/>
    </row>
    <row r="2559" spans="11:15">
      <c r="K2559" s="1466">
        <v>44616</v>
      </c>
      <c r="L2559" s="1467" t="s">
        <v>2127</v>
      </c>
      <c r="M2559" s="1468">
        <v>4.0168000000000002E-2</v>
      </c>
      <c r="N2559" s="1469">
        <v>1.7128226605696837</v>
      </c>
      <c r="O2559" s="1469"/>
    </row>
    <row r="2560" spans="11:15">
      <c r="K2560" s="1466">
        <v>44617</v>
      </c>
      <c r="L2560" s="1467" t="s">
        <v>2127</v>
      </c>
      <c r="M2560" s="1468">
        <v>4.0168000000000002E-2</v>
      </c>
      <c r="N2560" s="1469">
        <v>1.7135106671759812</v>
      </c>
      <c r="O2560" s="1469"/>
    </row>
    <row r="2561" spans="11:15">
      <c r="K2561" s="1466">
        <v>44618</v>
      </c>
      <c r="L2561" s="1467"/>
      <c r="M2561" s="1468">
        <v>0</v>
      </c>
      <c r="N2561" s="1469">
        <v>1.7135106671759812</v>
      </c>
      <c r="O2561" s="1469"/>
    </row>
    <row r="2562" spans="11:15">
      <c r="K2562" s="1466">
        <v>44619</v>
      </c>
      <c r="L2562" s="1467"/>
      <c r="M2562" s="1468">
        <v>0</v>
      </c>
      <c r="N2562" s="1469">
        <v>1.7135106671759812</v>
      </c>
      <c r="O2562" s="1469"/>
    </row>
    <row r="2563" spans="11:15">
      <c r="K2563" s="1466">
        <v>44620</v>
      </c>
      <c r="L2563" s="1467"/>
      <c r="M2563" s="1468">
        <v>0</v>
      </c>
      <c r="N2563" s="1469">
        <v>1.7135106671759812</v>
      </c>
      <c r="O2563" s="1469"/>
    </row>
    <row r="2564" spans="11:15">
      <c r="K2564" s="1466">
        <v>44621</v>
      </c>
      <c r="L2564" s="1467"/>
      <c r="M2564" s="1468">
        <v>0</v>
      </c>
      <c r="N2564" s="1469">
        <v>1.7135106671759812</v>
      </c>
      <c r="O2564" s="1469"/>
    </row>
    <row r="2565" spans="11:15">
      <c r="K2565" s="1466">
        <v>44622</v>
      </c>
      <c r="L2565" s="1467" t="s">
        <v>2127</v>
      </c>
      <c r="M2565" s="1468">
        <v>4.0168000000000002E-2</v>
      </c>
      <c r="N2565" s="1469">
        <v>1.7141989501407724</v>
      </c>
      <c r="O2565" s="1469"/>
    </row>
    <row r="2566" spans="11:15">
      <c r="K2566" s="1466">
        <v>44623</v>
      </c>
      <c r="L2566" s="1467" t="s">
        <v>2127</v>
      </c>
      <c r="M2566" s="1468">
        <v>4.0168000000000002E-2</v>
      </c>
      <c r="N2566" s="1469">
        <v>1.7148875095750649</v>
      </c>
      <c r="O2566" s="1469"/>
    </row>
    <row r="2567" spans="11:15">
      <c r="K2567" s="1466">
        <v>44624</v>
      </c>
      <c r="L2567" s="1467" t="s">
        <v>2127</v>
      </c>
      <c r="M2567" s="1468">
        <v>4.0168000000000002E-2</v>
      </c>
      <c r="N2567" s="1469">
        <v>1.7155763455899109</v>
      </c>
      <c r="O2567" s="1469"/>
    </row>
    <row r="2568" spans="11:15">
      <c r="K2568" s="1466">
        <v>44625</v>
      </c>
      <c r="L2568" s="1467"/>
      <c r="M2568" s="1468">
        <v>0</v>
      </c>
      <c r="N2568" s="1469">
        <v>1.7155763455899109</v>
      </c>
      <c r="O2568" s="1469"/>
    </row>
    <row r="2569" spans="11:15">
      <c r="K2569" s="1466">
        <v>44626</v>
      </c>
      <c r="L2569" s="1467"/>
      <c r="M2569" s="1468">
        <v>0</v>
      </c>
      <c r="N2569" s="1469">
        <v>1.7155763455899109</v>
      </c>
      <c r="O2569" s="1469"/>
    </row>
    <row r="2570" spans="11:15">
      <c r="K2570" s="1466">
        <v>44627</v>
      </c>
      <c r="L2570" s="1467" t="s">
        <v>2127</v>
      </c>
      <c r="M2570" s="1468">
        <v>4.0168000000000002E-2</v>
      </c>
      <c r="N2570" s="1469">
        <v>1.7162654582964074</v>
      </c>
      <c r="O2570" s="1469"/>
    </row>
    <row r="2571" spans="11:15">
      <c r="K2571" s="1466">
        <v>44628</v>
      </c>
      <c r="L2571" s="1467" t="s">
        <v>2127</v>
      </c>
      <c r="M2571" s="1468">
        <v>4.0168000000000002E-2</v>
      </c>
      <c r="N2571" s="1469">
        <v>1.716954847805696</v>
      </c>
      <c r="O2571" s="1469"/>
    </row>
    <row r="2572" spans="11:15">
      <c r="K2572" s="1466">
        <v>44629</v>
      </c>
      <c r="L2572" s="1467" t="s">
        <v>2127</v>
      </c>
      <c r="M2572" s="1468">
        <v>4.0168000000000002E-2</v>
      </c>
      <c r="N2572" s="1469">
        <v>1.7176445142289625</v>
      </c>
      <c r="O2572" s="1469"/>
    </row>
    <row r="2573" spans="11:15">
      <c r="K2573" s="1466">
        <v>44630</v>
      </c>
      <c r="L2573" s="1467" t="s">
        <v>2127</v>
      </c>
      <c r="M2573" s="1468">
        <v>4.0168000000000002E-2</v>
      </c>
      <c r="N2573" s="1469">
        <v>1.718334457677438</v>
      </c>
      <c r="O2573" s="1469"/>
    </row>
    <row r="2574" spans="11:15">
      <c r="K2574" s="1466">
        <v>44631</v>
      </c>
      <c r="L2574" s="1467" t="s">
        <v>2127</v>
      </c>
      <c r="M2574" s="1468">
        <v>4.0168000000000002E-2</v>
      </c>
      <c r="N2574" s="1469">
        <v>1.7190246782623977</v>
      </c>
      <c r="O2574" s="1469"/>
    </row>
    <row r="2575" spans="11:15">
      <c r="K2575" s="1466">
        <v>44632</v>
      </c>
      <c r="L2575" s="1467"/>
      <c r="M2575" s="1468">
        <v>0</v>
      </c>
      <c r="N2575" s="1469">
        <v>1.7190246782623977</v>
      </c>
      <c r="O2575" s="1469"/>
    </row>
    <row r="2576" spans="11:15">
      <c r="K2576" s="1466">
        <v>44633</v>
      </c>
      <c r="L2576" s="1467"/>
      <c r="M2576" s="1468">
        <v>0</v>
      </c>
      <c r="N2576" s="1469">
        <v>1.7190246782623977</v>
      </c>
      <c r="O2576" s="1469"/>
    </row>
    <row r="2577" spans="11:15">
      <c r="K2577" s="1466">
        <v>44634</v>
      </c>
      <c r="L2577" s="1467" t="s">
        <v>2127</v>
      </c>
      <c r="M2577" s="1468">
        <v>4.0168000000000002E-2</v>
      </c>
      <c r="N2577" s="1469">
        <v>1.7197151760951621</v>
      </c>
      <c r="O2577" s="1469"/>
    </row>
    <row r="2578" spans="11:15">
      <c r="K2578" s="1466">
        <v>44635</v>
      </c>
      <c r="L2578" s="1467" t="s">
        <v>2127</v>
      </c>
      <c r="M2578" s="1468">
        <v>4.0168000000000002E-2</v>
      </c>
      <c r="N2578" s="1469">
        <v>1.7204059512870959</v>
      </c>
      <c r="O2578" s="1469"/>
    </row>
    <row r="2579" spans="11:15">
      <c r="K2579" s="1466">
        <v>44636</v>
      </c>
      <c r="L2579" s="1467" t="s">
        <v>2127</v>
      </c>
      <c r="M2579" s="1468">
        <v>4.0168000000000002E-2</v>
      </c>
      <c r="N2579" s="1469">
        <v>1.721097003949609</v>
      </c>
      <c r="O2579" s="1469"/>
    </row>
    <row r="2580" spans="11:15">
      <c r="K2580" s="1466">
        <v>44637</v>
      </c>
      <c r="L2580" s="1467" t="s">
        <v>2127</v>
      </c>
      <c r="M2580" s="1468">
        <v>4.3739E-2</v>
      </c>
      <c r="N2580" s="1469">
        <v>1.7218497945681666</v>
      </c>
      <c r="O2580" s="1469"/>
    </row>
    <row r="2581" spans="11:15">
      <c r="K2581" s="1466">
        <v>44638</v>
      </c>
      <c r="L2581" s="1467" t="s">
        <v>2127</v>
      </c>
      <c r="M2581" s="1468">
        <v>4.3739E-2</v>
      </c>
      <c r="N2581" s="1469">
        <v>1.7226029144498129</v>
      </c>
      <c r="O2581" s="1469"/>
    </row>
    <row r="2582" spans="11:15">
      <c r="K2582" s="1466">
        <v>44639</v>
      </c>
      <c r="L2582" s="1467"/>
      <c r="M2582" s="1468">
        <v>0</v>
      </c>
      <c r="N2582" s="1469">
        <v>1.7226029144498129</v>
      </c>
      <c r="O2582" s="1469"/>
    </row>
    <row r="2583" spans="11:15">
      <c r="K2583" s="1466">
        <v>44640</v>
      </c>
      <c r="L2583" s="1467"/>
      <c r="M2583" s="1468">
        <v>0</v>
      </c>
      <c r="N2583" s="1469">
        <v>1.7226029144498129</v>
      </c>
      <c r="O2583" s="1469"/>
    </row>
    <row r="2584" spans="11:15">
      <c r="K2584" s="1466">
        <v>44641</v>
      </c>
      <c r="L2584" s="1467" t="s">
        <v>2127</v>
      </c>
      <c r="M2584" s="1468">
        <v>4.3739E-2</v>
      </c>
      <c r="N2584" s="1469">
        <v>1.7233563637385643</v>
      </c>
      <c r="O2584" s="1469"/>
    </row>
    <row r="2585" spans="11:15">
      <c r="K2585" s="1466">
        <v>44642</v>
      </c>
      <c r="L2585" s="1467" t="s">
        <v>2127</v>
      </c>
      <c r="M2585" s="1468">
        <v>4.3739E-2</v>
      </c>
      <c r="N2585" s="1469">
        <v>1.7241101425785001</v>
      </c>
      <c r="O2585" s="1469"/>
    </row>
    <row r="2586" spans="11:15">
      <c r="K2586" s="1466">
        <v>44643</v>
      </c>
      <c r="L2586" s="1467" t="s">
        <v>2127</v>
      </c>
      <c r="M2586" s="1468">
        <v>4.3739E-2</v>
      </c>
      <c r="N2586" s="1469">
        <v>1.7248642511137626</v>
      </c>
      <c r="O2586" s="1469"/>
    </row>
    <row r="2587" spans="11:15">
      <c r="K2587" s="1466">
        <v>44644</v>
      </c>
      <c r="L2587" s="1467" t="s">
        <v>2127</v>
      </c>
      <c r="M2587" s="1468">
        <v>4.3739E-2</v>
      </c>
      <c r="N2587" s="1469">
        <v>1.7256186894885575</v>
      </c>
      <c r="O2587" s="1469"/>
    </row>
    <row r="2588" spans="11:15">
      <c r="K2588" s="1466">
        <v>44645</v>
      </c>
      <c r="L2588" s="1467" t="s">
        <v>2127</v>
      </c>
      <c r="M2588" s="1468">
        <v>4.3739E-2</v>
      </c>
      <c r="N2588" s="1469">
        <v>1.726373457847153</v>
      </c>
      <c r="O2588" s="1469"/>
    </row>
    <row r="2589" spans="11:15">
      <c r="K2589" s="1466">
        <v>44646</v>
      </c>
      <c r="L2589" s="1467"/>
      <c r="M2589" s="1468">
        <v>0</v>
      </c>
      <c r="N2589" s="1469">
        <v>1.726373457847153</v>
      </c>
      <c r="O2589" s="1469"/>
    </row>
    <row r="2590" spans="11:15">
      <c r="K2590" s="1466">
        <v>44647</v>
      </c>
      <c r="L2590" s="1467"/>
      <c r="M2590" s="1468">
        <v>0</v>
      </c>
      <c r="N2590" s="1469">
        <v>1.726373457847153</v>
      </c>
      <c r="O2590" s="1469"/>
    </row>
    <row r="2591" spans="11:15">
      <c r="K2591" s="1466">
        <v>44648</v>
      </c>
      <c r="L2591" s="1467" t="s">
        <v>2127</v>
      </c>
      <c r="M2591" s="1468">
        <v>4.3739E-2</v>
      </c>
      <c r="N2591" s="1469">
        <v>1.727128556333881</v>
      </c>
      <c r="O2591" s="1469"/>
    </row>
    <row r="2592" spans="11:15">
      <c r="K2592" s="1466">
        <v>44649</v>
      </c>
      <c r="L2592" s="1467" t="s">
        <v>2127</v>
      </c>
      <c r="M2592" s="1468">
        <v>4.3739E-2</v>
      </c>
      <c r="N2592" s="1469">
        <v>1.727883985093136</v>
      </c>
      <c r="O2592" s="1469"/>
    </row>
    <row r="2593" spans="11:15">
      <c r="K2593" s="1466">
        <v>44650</v>
      </c>
      <c r="L2593" s="1467" t="s">
        <v>2127</v>
      </c>
      <c r="M2593" s="1468">
        <v>4.3739E-2</v>
      </c>
      <c r="N2593" s="1469">
        <v>1.7286397442693762</v>
      </c>
      <c r="O2593" s="1469"/>
    </row>
    <row r="2594" spans="11:15">
      <c r="K2594" s="1466">
        <v>44651</v>
      </c>
      <c r="L2594" s="1467" t="s">
        <v>2127</v>
      </c>
      <c r="M2594" s="1468">
        <v>4.3739E-2</v>
      </c>
      <c r="N2594" s="1469">
        <v>1.7293958340071223</v>
      </c>
      <c r="O2594" s="1469"/>
    </row>
    <row r="2595" spans="11:15">
      <c r="K2595" s="1466">
        <v>44652</v>
      </c>
      <c r="L2595" s="1467" t="s">
        <v>2127</v>
      </c>
      <c r="M2595" s="1468">
        <v>4.3739E-2</v>
      </c>
      <c r="N2595" s="1469">
        <v>1.7301522544509589</v>
      </c>
      <c r="O2595" s="1469"/>
    </row>
    <row r="2596" spans="11:15">
      <c r="K2596" s="1466">
        <v>44653</v>
      </c>
      <c r="L2596" s="1467"/>
      <c r="M2596" s="1468">
        <v>0</v>
      </c>
      <c r="N2596" s="1469">
        <v>1.7301522544509589</v>
      </c>
      <c r="O2596" s="1469"/>
    </row>
    <row r="2597" spans="11:15">
      <c r="K2597" s="1466">
        <v>44654</v>
      </c>
      <c r="L2597" s="1467"/>
      <c r="M2597" s="1468">
        <v>0</v>
      </c>
      <c r="N2597" s="1469">
        <v>1.7301522544509589</v>
      </c>
      <c r="O2597" s="1469"/>
    </row>
    <row r="2598" spans="11:15">
      <c r="K2598" s="1466">
        <v>44655</v>
      </c>
      <c r="L2598" s="1467" t="s">
        <v>2127</v>
      </c>
      <c r="M2598" s="1468">
        <v>4.3739E-2</v>
      </c>
      <c r="N2598" s="1469">
        <v>1.7309090057455334</v>
      </c>
      <c r="O2598" s="1469"/>
    </row>
    <row r="2599" spans="11:15">
      <c r="K2599" s="1466">
        <v>44656</v>
      </c>
      <c r="L2599" s="1467" t="s">
        <v>2127</v>
      </c>
      <c r="M2599" s="1468">
        <v>4.3739E-2</v>
      </c>
      <c r="N2599" s="1469">
        <v>1.7316660880355565</v>
      </c>
      <c r="O2599" s="1469"/>
    </row>
    <row r="2600" spans="11:15">
      <c r="K2600" s="1466">
        <v>44657</v>
      </c>
      <c r="L2600" s="1467" t="s">
        <v>2127</v>
      </c>
      <c r="M2600" s="1468">
        <v>4.3739E-2</v>
      </c>
      <c r="N2600" s="1469">
        <v>1.7324235014658025</v>
      </c>
      <c r="O2600" s="1469"/>
    </row>
    <row r="2601" spans="11:15">
      <c r="K2601" s="1466">
        <v>44658</v>
      </c>
      <c r="L2601" s="1467" t="s">
        <v>2127</v>
      </c>
      <c r="M2601" s="1468">
        <v>4.3739E-2</v>
      </c>
      <c r="N2601" s="1469">
        <v>1.7331812461811087</v>
      </c>
      <c r="O2601" s="1469"/>
    </row>
    <row r="2602" spans="11:15">
      <c r="K2602" s="1466">
        <v>44659</v>
      </c>
      <c r="L2602" s="1467" t="s">
        <v>2127</v>
      </c>
      <c r="M2602" s="1468">
        <v>4.3739E-2</v>
      </c>
      <c r="N2602" s="1469">
        <v>1.7339393223263759</v>
      </c>
      <c r="O2602" s="1469"/>
    </row>
    <row r="2603" spans="11:15">
      <c r="K2603" s="1466">
        <v>44660</v>
      </c>
      <c r="L2603" s="1467"/>
      <c r="M2603" s="1468">
        <v>0</v>
      </c>
      <c r="N2603" s="1469">
        <v>1.7339393223263759</v>
      </c>
      <c r="O2603" s="1469"/>
    </row>
    <row r="2604" spans="11:15">
      <c r="K2604" s="1466">
        <v>44661</v>
      </c>
      <c r="L2604" s="1467"/>
      <c r="M2604" s="1468">
        <v>0</v>
      </c>
      <c r="N2604" s="1469">
        <v>1.7339393223263759</v>
      </c>
      <c r="O2604" s="1469"/>
    </row>
    <row r="2605" spans="11:15">
      <c r="K2605" s="1466">
        <v>44662</v>
      </c>
      <c r="L2605" s="1467" t="s">
        <v>2127</v>
      </c>
      <c r="M2605" s="1468">
        <v>4.3739E-2</v>
      </c>
      <c r="N2605" s="1469">
        <v>1.7346977300465685</v>
      </c>
      <c r="O2605" s="1469"/>
    </row>
    <row r="2606" spans="11:15">
      <c r="K2606" s="1466">
        <v>44663</v>
      </c>
      <c r="L2606" s="1467" t="s">
        <v>2127</v>
      </c>
      <c r="M2606" s="1468">
        <v>4.3739E-2</v>
      </c>
      <c r="N2606" s="1469">
        <v>1.7354564694867136</v>
      </c>
      <c r="O2606" s="1469"/>
    </row>
    <row r="2607" spans="11:15">
      <c r="K2607" s="1466">
        <v>44664</v>
      </c>
      <c r="L2607" s="1467" t="s">
        <v>2127</v>
      </c>
      <c r="M2607" s="1468">
        <v>4.3739E-2</v>
      </c>
      <c r="N2607" s="1469">
        <v>1.7362155407919027</v>
      </c>
      <c r="O2607" s="1469"/>
    </row>
    <row r="2608" spans="11:15">
      <c r="K2608" s="1466">
        <v>44665</v>
      </c>
      <c r="L2608" s="1467" t="s">
        <v>2127</v>
      </c>
      <c r="M2608" s="1468">
        <v>4.3739E-2</v>
      </c>
      <c r="N2608" s="1469">
        <v>1.7369749441072897</v>
      </c>
      <c r="O2608" s="1469"/>
    </row>
    <row r="2609" spans="11:15">
      <c r="K2609" s="1466">
        <v>44666</v>
      </c>
      <c r="L2609" s="1467"/>
      <c r="M2609" s="1468">
        <v>0</v>
      </c>
      <c r="N2609" s="1469">
        <v>1.7369749441072897</v>
      </c>
      <c r="O2609" s="1469"/>
    </row>
    <row r="2610" spans="11:15">
      <c r="K2610" s="1466">
        <v>44667</v>
      </c>
      <c r="L2610" s="1467"/>
      <c r="M2610" s="1468">
        <v>0</v>
      </c>
      <c r="N2610" s="1469">
        <v>1.7369749441072897</v>
      </c>
      <c r="O2610" s="1469"/>
    </row>
    <row r="2611" spans="11:15">
      <c r="K2611" s="1466">
        <v>44668</v>
      </c>
      <c r="L2611" s="1467"/>
      <c r="M2611" s="1468">
        <v>0</v>
      </c>
      <c r="N2611" s="1469">
        <v>1.7369749441072897</v>
      </c>
      <c r="O2611" s="1469"/>
    </row>
    <row r="2612" spans="11:15">
      <c r="K2612" s="1466">
        <v>44669</v>
      </c>
      <c r="L2612" s="1467" t="s">
        <v>2127</v>
      </c>
      <c r="M2612" s="1468">
        <v>4.3739E-2</v>
      </c>
      <c r="N2612" s="1469">
        <v>1.737734679578093</v>
      </c>
      <c r="O2612" s="1469"/>
    </row>
    <row r="2613" spans="11:15">
      <c r="K2613" s="1466">
        <v>44670</v>
      </c>
      <c r="L2613" s="1467" t="s">
        <v>2127</v>
      </c>
      <c r="M2613" s="1468">
        <v>4.3739E-2</v>
      </c>
      <c r="N2613" s="1469">
        <v>1.7384947473495937</v>
      </c>
      <c r="O2613" s="1469"/>
    </row>
    <row r="2614" spans="11:15">
      <c r="K2614" s="1466">
        <v>44671</v>
      </c>
      <c r="L2614" s="1467" t="s">
        <v>2127</v>
      </c>
      <c r="M2614" s="1468">
        <v>4.3739E-2</v>
      </c>
      <c r="N2614" s="1469">
        <v>1.7392551475671372</v>
      </c>
      <c r="O2614" s="1469"/>
    </row>
    <row r="2615" spans="11:15">
      <c r="K2615" s="1466">
        <v>44672</v>
      </c>
      <c r="L2615" s="1467"/>
      <c r="M2615" s="1468">
        <v>0</v>
      </c>
      <c r="N2615" s="1469">
        <v>1.7392551475671372</v>
      </c>
      <c r="O2615" s="1469"/>
    </row>
    <row r="2616" spans="11:15">
      <c r="K2616" s="1466">
        <v>44673</v>
      </c>
      <c r="L2616" s="1467" t="s">
        <v>2127</v>
      </c>
      <c r="M2616" s="1468">
        <v>4.3739E-2</v>
      </c>
      <c r="N2616" s="1469">
        <v>1.7400158803761316</v>
      </c>
      <c r="O2616" s="1469"/>
    </row>
    <row r="2617" spans="11:15">
      <c r="K2617" s="1466">
        <v>44674</v>
      </c>
      <c r="L2617" s="1467"/>
      <c r="M2617" s="1468">
        <v>0</v>
      </c>
      <c r="N2617" s="1469">
        <v>1.7400158803761316</v>
      </c>
      <c r="O2617" s="1469"/>
    </row>
    <row r="2618" spans="11:15">
      <c r="K2618" s="1466">
        <v>44675</v>
      </c>
      <c r="L2618" s="1467"/>
      <c r="M2618" s="1468">
        <v>0</v>
      </c>
      <c r="N2618" s="1469">
        <v>1.7400158803761316</v>
      </c>
      <c r="O2618" s="1469"/>
    </row>
    <row r="2619" spans="11:15">
      <c r="K2619" s="1466">
        <v>44676</v>
      </c>
      <c r="L2619" s="1467" t="s">
        <v>2127</v>
      </c>
      <c r="M2619" s="1468">
        <v>4.3739E-2</v>
      </c>
      <c r="N2619" s="1469">
        <v>1.7407769459220495</v>
      </c>
      <c r="O2619" s="1469"/>
    </row>
    <row r="2620" spans="11:15">
      <c r="K2620" s="1466">
        <v>44677</v>
      </c>
      <c r="L2620" s="1467" t="s">
        <v>2127</v>
      </c>
      <c r="M2620" s="1468">
        <v>4.3739E-2</v>
      </c>
      <c r="N2620" s="1469">
        <v>1.7415383443504264</v>
      </c>
      <c r="O2620" s="1469"/>
    </row>
    <row r="2621" spans="11:15">
      <c r="K2621" s="1466">
        <v>44678</v>
      </c>
      <c r="L2621" s="1467" t="s">
        <v>2127</v>
      </c>
      <c r="M2621" s="1468">
        <v>4.3739E-2</v>
      </c>
      <c r="N2621" s="1469">
        <v>1.7423000758068621</v>
      </c>
      <c r="O2621" s="1469"/>
    </row>
    <row r="2622" spans="11:15">
      <c r="K2622" s="1466">
        <v>44679</v>
      </c>
      <c r="L2622" s="1467" t="s">
        <v>2127</v>
      </c>
      <c r="M2622" s="1468">
        <v>4.3739E-2</v>
      </c>
      <c r="N2622" s="1469">
        <v>1.7430621404370195</v>
      </c>
      <c r="O2622" s="1469"/>
    </row>
    <row r="2623" spans="11:15">
      <c r="K2623" s="1466">
        <v>44680</v>
      </c>
      <c r="L2623" s="1467" t="s">
        <v>2127</v>
      </c>
      <c r="M2623" s="1468">
        <v>4.3739E-2</v>
      </c>
      <c r="N2623" s="1469">
        <v>1.7438245383866253</v>
      </c>
      <c r="O2623" s="1469"/>
    </row>
    <row r="2624" spans="11:15">
      <c r="K2624" s="1466">
        <v>44681</v>
      </c>
      <c r="L2624" s="1467"/>
      <c r="M2624" s="1468">
        <v>0</v>
      </c>
      <c r="N2624" s="1469">
        <v>1.7438245383866253</v>
      </c>
      <c r="O2624" s="1469"/>
    </row>
    <row r="2625" spans="11:15">
      <c r="K2625" s="1466">
        <v>44682</v>
      </c>
      <c r="L2625" s="1467"/>
      <c r="M2625" s="1468">
        <v>0</v>
      </c>
      <c r="N2625" s="1469">
        <v>1.7438245383866253</v>
      </c>
      <c r="O2625" s="1469"/>
    </row>
    <row r="2626" spans="11:15">
      <c r="K2626" s="1466">
        <v>44683</v>
      </c>
      <c r="L2626" s="1467" t="s">
        <v>2127</v>
      </c>
      <c r="M2626" s="1468">
        <v>4.3739E-2</v>
      </c>
      <c r="N2626" s="1469">
        <v>1.7445872698014704</v>
      </c>
      <c r="O2626" s="1469"/>
    </row>
    <row r="2627" spans="11:15">
      <c r="K2627" s="1466">
        <v>44684</v>
      </c>
      <c r="L2627" s="1467" t="s">
        <v>2127</v>
      </c>
      <c r="M2627" s="1468">
        <v>4.3739E-2</v>
      </c>
      <c r="N2627" s="1469">
        <v>1.7453503348274091</v>
      </c>
      <c r="O2627" s="1469"/>
    </row>
    <row r="2628" spans="11:15">
      <c r="K2628" s="1466">
        <v>44685</v>
      </c>
      <c r="L2628" s="1467" t="s">
        <v>2127</v>
      </c>
      <c r="M2628" s="1468">
        <v>4.3739E-2</v>
      </c>
      <c r="N2628" s="1469">
        <v>1.7461137336103594</v>
      </c>
      <c r="O2628" s="1469"/>
    </row>
    <row r="2629" spans="11:15">
      <c r="K2629" s="1466">
        <v>44686</v>
      </c>
      <c r="L2629" s="1467" t="s">
        <v>2127</v>
      </c>
      <c r="M2629" s="1468">
        <v>4.7279000000000002E-2</v>
      </c>
      <c r="N2629" s="1469">
        <v>1.7469392787224729</v>
      </c>
      <c r="O2629" s="1469"/>
    </row>
    <row r="2630" spans="11:15">
      <c r="K2630" s="1466">
        <v>44687</v>
      </c>
      <c r="L2630" s="1467" t="s">
        <v>2127</v>
      </c>
      <c r="M2630" s="1468">
        <v>4.7279000000000002E-2</v>
      </c>
      <c r="N2630" s="1469">
        <v>1.7477652141440598</v>
      </c>
      <c r="O2630" s="1469"/>
    </row>
    <row r="2631" spans="11:15">
      <c r="K2631" s="1466">
        <v>44688</v>
      </c>
      <c r="L2631" s="1467"/>
      <c r="M2631" s="1468">
        <v>0</v>
      </c>
      <c r="N2631" s="1469">
        <v>1.7477652141440598</v>
      </c>
      <c r="O2631" s="1469"/>
    </row>
    <row r="2632" spans="11:15">
      <c r="K2632" s="1466">
        <v>44689</v>
      </c>
      <c r="L2632" s="1467"/>
      <c r="M2632" s="1468">
        <v>0</v>
      </c>
      <c r="N2632" s="1469">
        <v>1.7477652141440598</v>
      </c>
      <c r="O2632" s="1469"/>
    </row>
    <row r="2633" spans="11:15">
      <c r="K2633" s="1466">
        <v>44690</v>
      </c>
      <c r="L2633" s="1467" t="s">
        <v>2127</v>
      </c>
      <c r="M2633" s="1468">
        <v>4.7279000000000002E-2</v>
      </c>
      <c r="N2633" s="1469">
        <v>1.7485915400596548</v>
      </c>
      <c r="O2633" s="1469"/>
    </row>
    <row r="2634" spans="11:15">
      <c r="K2634" s="1466">
        <v>44691</v>
      </c>
      <c r="L2634" s="1467" t="s">
        <v>2127</v>
      </c>
      <c r="M2634" s="1468">
        <v>4.7279000000000002E-2</v>
      </c>
      <c r="N2634" s="1469">
        <v>1.7494182566538794</v>
      </c>
      <c r="O2634" s="1469"/>
    </row>
    <row r="2635" spans="11:15">
      <c r="K2635" s="1466">
        <v>44692</v>
      </c>
      <c r="L2635" s="1467" t="s">
        <v>2127</v>
      </c>
      <c r="M2635" s="1468">
        <v>4.7279000000000002E-2</v>
      </c>
      <c r="N2635" s="1469">
        <v>1.7502453641114426</v>
      </c>
      <c r="O2635" s="1469"/>
    </row>
    <row r="2636" spans="11:15">
      <c r="K2636" s="1466">
        <v>44693</v>
      </c>
      <c r="L2636" s="1467" t="s">
        <v>2127</v>
      </c>
      <c r="M2636" s="1468">
        <v>4.7279000000000002E-2</v>
      </c>
      <c r="N2636" s="1469">
        <v>1.7510728626171406</v>
      </c>
      <c r="O2636" s="1469"/>
    </row>
    <row r="2637" spans="11:15">
      <c r="K2637" s="1466">
        <v>44694</v>
      </c>
      <c r="L2637" s="1467" t="s">
        <v>2127</v>
      </c>
      <c r="M2637" s="1468">
        <v>4.7279000000000002E-2</v>
      </c>
      <c r="N2637" s="1469">
        <v>1.7519007523558572</v>
      </c>
      <c r="O2637" s="1469"/>
    </row>
    <row r="2638" spans="11:15">
      <c r="K2638" s="1466">
        <v>44695</v>
      </c>
      <c r="L2638" s="1467"/>
      <c r="M2638" s="1468">
        <v>0</v>
      </c>
      <c r="N2638" s="1469">
        <v>1.7519007523558572</v>
      </c>
      <c r="O2638" s="1469"/>
    </row>
    <row r="2639" spans="11:15">
      <c r="K2639" s="1466">
        <v>44696</v>
      </c>
      <c r="L2639" s="1467"/>
      <c r="M2639" s="1468">
        <v>0</v>
      </c>
      <c r="N2639" s="1469">
        <v>1.7519007523558572</v>
      </c>
      <c r="O2639" s="1469"/>
    </row>
    <row r="2640" spans="11:15">
      <c r="K2640" s="1466">
        <v>44697</v>
      </c>
      <c r="L2640" s="1467" t="s">
        <v>2127</v>
      </c>
      <c r="M2640" s="1468">
        <v>4.7279000000000002E-2</v>
      </c>
      <c r="N2640" s="1469">
        <v>1.7527290335125634</v>
      </c>
      <c r="O2640" s="1469"/>
    </row>
    <row r="2641" spans="11:15">
      <c r="K2641" s="1466">
        <v>44698</v>
      </c>
      <c r="L2641" s="1467" t="s">
        <v>2127</v>
      </c>
      <c r="M2641" s="1468">
        <v>4.7279000000000002E-2</v>
      </c>
      <c r="N2641" s="1469">
        <v>1.7535577062723176</v>
      </c>
      <c r="O2641" s="1469"/>
    </row>
    <row r="2642" spans="11:15">
      <c r="K2642" s="1466">
        <v>44699</v>
      </c>
      <c r="L2642" s="1467" t="s">
        <v>2127</v>
      </c>
      <c r="M2642" s="1468">
        <v>4.7279000000000002E-2</v>
      </c>
      <c r="N2642" s="1469">
        <v>1.7543867708202658</v>
      </c>
      <c r="O2642" s="1469"/>
    </row>
    <row r="2643" spans="11:15">
      <c r="K2643" s="1466">
        <v>44700</v>
      </c>
      <c r="L2643" s="1467" t="s">
        <v>2127</v>
      </c>
      <c r="M2643" s="1468">
        <v>4.7279000000000002E-2</v>
      </c>
      <c r="N2643" s="1469">
        <v>1.7552162273416418</v>
      </c>
      <c r="O2643" s="1469"/>
    </row>
    <row r="2644" spans="11:15">
      <c r="K2644" s="1466">
        <v>44701</v>
      </c>
      <c r="L2644" s="1467" t="s">
        <v>2127</v>
      </c>
      <c r="M2644" s="1468">
        <v>4.7279000000000002E-2</v>
      </c>
      <c r="N2644" s="1469">
        <v>1.7560460760217664</v>
      </c>
      <c r="O2644" s="1469"/>
    </row>
    <row r="2645" spans="11:15">
      <c r="K2645" s="1466">
        <v>44702</v>
      </c>
      <c r="L2645" s="1467"/>
      <c r="M2645" s="1468">
        <v>0</v>
      </c>
      <c r="N2645" s="1469">
        <v>1.7560460760217664</v>
      </c>
      <c r="O2645" s="1469"/>
    </row>
    <row r="2646" spans="11:15">
      <c r="K2646" s="1466">
        <v>44703</v>
      </c>
      <c r="L2646" s="1467"/>
      <c r="M2646" s="1468">
        <v>0</v>
      </c>
      <c r="N2646" s="1469">
        <v>1.7560460760217664</v>
      </c>
      <c r="O2646" s="1469"/>
    </row>
    <row r="2647" spans="11:15">
      <c r="K2647" s="1466">
        <v>44704</v>
      </c>
      <c r="L2647" s="1467" t="s">
        <v>2127</v>
      </c>
      <c r="M2647" s="1468">
        <v>4.7279000000000002E-2</v>
      </c>
      <c r="N2647" s="1469">
        <v>1.7568763170460486</v>
      </c>
      <c r="O2647" s="1469"/>
    </row>
    <row r="2648" spans="11:15">
      <c r="K2648" s="1466">
        <v>44705</v>
      </c>
      <c r="L2648" s="1467" t="s">
        <v>2127</v>
      </c>
      <c r="M2648" s="1468">
        <v>4.7279000000000002E-2</v>
      </c>
      <c r="N2648" s="1469">
        <v>1.7577069505999847</v>
      </c>
      <c r="O2648" s="1469"/>
    </row>
    <row r="2649" spans="11:15">
      <c r="K2649" s="1466">
        <v>44706</v>
      </c>
      <c r="L2649" s="1467" t="s">
        <v>2127</v>
      </c>
      <c r="M2649" s="1468">
        <v>4.7279000000000002E-2</v>
      </c>
      <c r="N2649" s="1469">
        <v>1.7585379768691587</v>
      </c>
      <c r="O2649" s="1469"/>
    </row>
    <row r="2650" spans="11:15">
      <c r="K2650" s="1466">
        <v>44707</v>
      </c>
      <c r="L2650" s="1467" t="s">
        <v>2127</v>
      </c>
      <c r="M2650" s="1468">
        <v>4.7279000000000002E-2</v>
      </c>
      <c r="N2650" s="1469">
        <v>1.7593693960392425</v>
      </c>
      <c r="O2650" s="1469"/>
    </row>
    <row r="2651" spans="11:15">
      <c r="K2651" s="1466">
        <v>44708</v>
      </c>
      <c r="L2651" s="1467" t="s">
        <v>2127</v>
      </c>
      <c r="M2651" s="1468">
        <v>4.7279000000000002E-2</v>
      </c>
      <c r="N2651" s="1469">
        <v>1.7602012082959957</v>
      </c>
      <c r="O2651" s="1469"/>
    </row>
    <row r="2652" spans="11:15">
      <c r="K2652" s="1466">
        <v>44709</v>
      </c>
      <c r="L2652" s="1467"/>
      <c r="M2652" s="1468">
        <v>0</v>
      </c>
      <c r="N2652" s="1469">
        <v>1.7602012082959957</v>
      </c>
      <c r="O2652" s="1469"/>
    </row>
    <row r="2653" spans="11:15">
      <c r="K2653" s="1466">
        <v>44710</v>
      </c>
      <c r="L2653" s="1467"/>
      <c r="M2653" s="1468">
        <v>0</v>
      </c>
      <c r="N2653" s="1469">
        <v>1.7602012082959957</v>
      </c>
      <c r="O2653" s="1469"/>
    </row>
    <row r="2654" spans="11:15">
      <c r="K2654" s="1466">
        <v>44711</v>
      </c>
      <c r="L2654" s="1467" t="s">
        <v>2127</v>
      </c>
      <c r="M2654" s="1468">
        <v>4.7279000000000002E-2</v>
      </c>
      <c r="N2654" s="1469">
        <v>1.7610334138252657</v>
      </c>
      <c r="O2654" s="1469"/>
    </row>
    <row r="2655" spans="11:15">
      <c r="K2655" s="1466">
        <v>44712</v>
      </c>
      <c r="L2655" s="1467" t="s">
        <v>2127</v>
      </c>
      <c r="M2655" s="1468">
        <v>4.7279000000000002E-2</v>
      </c>
      <c r="N2655" s="1469">
        <v>1.7618660128129879</v>
      </c>
      <c r="O2655" s="1469"/>
    </row>
    <row r="2656" spans="11:15">
      <c r="K2656" s="1466">
        <v>44713</v>
      </c>
      <c r="L2656" s="1467" t="s">
        <v>2127</v>
      </c>
      <c r="M2656" s="1468">
        <v>4.7279000000000002E-2</v>
      </c>
      <c r="N2656" s="1469">
        <v>1.7626990054451857</v>
      </c>
      <c r="O2656" s="1469"/>
    </row>
    <row r="2657" spans="11:15">
      <c r="K2657" s="1466">
        <v>44714</v>
      </c>
      <c r="L2657" s="1467" t="s">
        <v>2127</v>
      </c>
      <c r="M2657" s="1468">
        <v>4.7279000000000002E-2</v>
      </c>
      <c r="N2657" s="1469">
        <v>1.76353239190797</v>
      </c>
      <c r="O2657" s="1469"/>
    </row>
    <row r="2658" spans="11:15">
      <c r="K2658" s="1466">
        <v>44715</v>
      </c>
      <c r="L2658" s="1467" t="s">
        <v>2127</v>
      </c>
      <c r="M2658" s="1468">
        <v>4.7279000000000002E-2</v>
      </c>
      <c r="N2658" s="1469">
        <v>1.7643661723875399</v>
      </c>
      <c r="O2658" s="1469"/>
    </row>
    <row r="2659" spans="11:15">
      <c r="K2659" s="1466">
        <v>44716</v>
      </c>
      <c r="L2659" s="1467"/>
      <c r="M2659" s="1468">
        <v>0</v>
      </c>
      <c r="N2659" s="1469">
        <v>1.7643661723875399</v>
      </c>
      <c r="O2659" s="1469"/>
    </row>
    <row r="2660" spans="11:15">
      <c r="K2660" s="1466">
        <v>44717</v>
      </c>
      <c r="L2660" s="1467"/>
      <c r="M2660" s="1468">
        <v>0</v>
      </c>
      <c r="N2660" s="1469">
        <v>1.7643661723875399</v>
      </c>
      <c r="O2660" s="1469"/>
    </row>
    <row r="2661" spans="11:15">
      <c r="K2661" s="1466">
        <v>44718</v>
      </c>
      <c r="L2661" s="1467" t="s">
        <v>2127</v>
      </c>
      <c r="M2661" s="1468">
        <v>4.7279000000000002E-2</v>
      </c>
      <c r="N2661" s="1469">
        <v>1.7652003470701829</v>
      </c>
      <c r="O2661" s="1469"/>
    </row>
    <row r="2662" spans="11:15">
      <c r="K2662" s="1466">
        <v>44719</v>
      </c>
      <c r="L2662" s="1467" t="s">
        <v>2127</v>
      </c>
      <c r="M2662" s="1468">
        <v>4.7279000000000002E-2</v>
      </c>
      <c r="N2662" s="1469">
        <v>1.7660349161422739</v>
      </c>
      <c r="O2662" s="1469"/>
    </row>
    <row r="2663" spans="11:15">
      <c r="K2663" s="1466">
        <v>44720</v>
      </c>
      <c r="L2663" s="1467" t="s">
        <v>2127</v>
      </c>
      <c r="M2663" s="1468">
        <v>4.7279000000000002E-2</v>
      </c>
      <c r="N2663" s="1469">
        <v>1.7668698797902767</v>
      </c>
      <c r="O2663" s="1469"/>
    </row>
    <row r="2664" spans="11:15">
      <c r="K2664" s="1466">
        <v>44721</v>
      </c>
      <c r="L2664" s="1467" t="s">
        <v>2127</v>
      </c>
      <c r="M2664" s="1468">
        <v>4.7279000000000002E-2</v>
      </c>
      <c r="N2664" s="1469">
        <v>1.7677052382007425</v>
      </c>
      <c r="O2664" s="1469"/>
    </row>
    <row r="2665" spans="11:15">
      <c r="K2665" s="1466">
        <v>44722</v>
      </c>
      <c r="L2665" s="1467" t="s">
        <v>2127</v>
      </c>
      <c r="M2665" s="1468">
        <v>4.7279000000000002E-2</v>
      </c>
      <c r="N2665" s="1469">
        <v>1.7685409915603112</v>
      </c>
      <c r="O2665" s="1469"/>
    </row>
    <row r="2666" spans="11:15">
      <c r="K2666" s="1466">
        <v>44723</v>
      </c>
      <c r="L2666" s="1467"/>
      <c r="M2666" s="1468">
        <v>0</v>
      </c>
      <c r="N2666" s="1469">
        <v>1.7685409915603112</v>
      </c>
      <c r="O2666" s="1469"/>
    </row>
    <row r="2667" spans="11:15">
      <c r="K2667" s="1466">
        <v>44724</v>
      </c>
      <c r="L2667" s="1467"/>
      <c r="M2667" s="1468">
        <v>0</v>
      </c>
      <c r="N2667" s="1469">
        <v>1.7685409915603112</v>
      </c>
      <c r="O2667" s="1469"/>
    </row>
    <row r="2668" spans="11:15">
      <c r="K2668" s="1466">
        <v>44725</v>
      </c>
      <c r="L2668" s="1467" t="s">
        <v>2127</v>
      </c>
      <c r="M2668" s="1468">
        <v>4.7279000000000002E-2</v>
      </c>
      <c r="N2668" s="1469">
        <v>1.7693771400557108</v>
      </c>
      <c r="O2668" s="1469"/>
    </row>
    <row r="2669" spans="11:15">
      <c r="K2669" s="1466">
        <v>44726</v>
      </c>
      <c r="L2669" s="1467" t="s">
        <v>2127</v>
      </c>
      <c r="M2669" s="1468">
        <v>4.7279000000000002E-2</v>
      </c>
      <c r="N2669" s="1469">
        <v>1.7702136838737574</v>
      </c>
      <c r="O2669" s="1469"/>
    </row>
    <row r="2670" spans="11:15">
      <c r="K2670" s="1466">
        <v>44727</v>
      </c>
      <c r="L2670" s="1467" t="s">
        <v>2127</v>
      </c>
      <c r="M2670" s="1468">
        <v>4.7279000000000002E-2</v>
      </c>
      <c r="N2670" s="1469">
        <v>1.7710506232013559</v>
      </c>
      <c r="O2670" s="1469"/>
    </row>
    <row r="2671" spans="11:15">
      <c r="K2671" s="1466">
        <v>44728</v>
      </c>
      <c r="L2671" s="1467"/>
      <c r="M2671" s="1468">
        <v>0</v>
      </c>
      <c r="N2671" s="1469">
        <v>1.7710506232013559</v>
      </c>
      <c r="O2671" s="1469"/>
    </row>
    <row r="2672" spans="11:15">
      <c r="K2672" s="1466">
        <v>44729</v>
      </c>
      <c r="L2672" s="1467" t="s">
        <v>2127</v>
      </c>
      <c r="M2672" s="1468">
        <v>4.9036999999999997E-2</v>
      </c>
      <c r="N2672" s="1469">
        <v>1.7719190932954552</v>
      </c>
      <c r="O2672" s="1469"/>
    </row>
    <row r="2673" spans="11:15">
      <c r="K2673" s="1466">
        <v>44730</v>
      </c>
      <c r="L2673" s="1467"/>
      <c r="M2673" s="1468">
        <v>0</v>
      </c>
      <c r="N2673" s="1469">
        <v>1.7719190932954552</v>
      </c>
      <c r="O2673" s="1469"/>
    </row>
    <row r="2674" spans="11:15">
      <c r="K2674" s="1466">
        <v>44731</v>
      </c>
      <c r="L2674" s="1467"/>
      <c r="M2674" s="1468">
        <v>0</v>
      </c>
      <c r="N2674" s="1469">
        <v>1.7719190932954552</v>
      </c>
      <c r="O2674" s="1469"/>
    </row>
    <row r="2675" spans="11:15">
      <c r="K2675" s="1466">
        <v>44732</v>
      </c>
      <c r="L2675" s="1467" t="s">
        <v>2127</v>
      </c>
      <c r="M2675" s="1468">
        <v>4.9036999999999997E-2</v>
      </c>
      <c r="N2675" s="1469">
        <v>1.7727879892612346</v>
      </c>
      <c r="O2675" s="1469"/>
    </row>
    <row r="2676" spans="11:15">
      <c r="K2676" s="1466">
        <v>44733</v>
      </c>
      <c r="L2676" s="1467" t="s">
        <v>2127</v>
      </c>
      <c r="M2676" s="1468">
        <v>4.9036999999999997E-2</v>
      </c>
      <c r="N2676" s="1469">
        <v>1.7736573113075287</v>
      </c>
      <c r="O2676" s="1469"/>
    </row>
    <row r="2677" spans="11:15">
      <c r="K2677" s="1466">
        <v>44734</v>
      </c>
      <c r="L2677" s="1467" t="s">
        <v>2127</v>
      </c>
      <c r="M2677" s="1468">
        <v>4.9036999999999997E-2</v>
      </c>
      <c r="N2677" s="1469">
        <v>1.7745270596432747</v>
      </c>
      <c r="O2677" s="1469"/>
    </row>
    <row r="2678" spans="11:15">
      <c r="K2678" s="1466">
        <v>44735</v>
      </c>
      <c r="L2678" s="1467" t="s">
        <v>2127</v>
      </c>
      <c r="M2678" s="1468">
        <v>4.9036999999999997E-2</v>
      </c>
      <c r="N2678" s="1469">
        <v>1.7753972344775122</v>
      </c>
      <c r="O2678" s="1469"/>
    </row>
    <row r="2679" spans="11:15">
      <c r="K2679" s="1466">
        <v>44736</v>
      </c>
      <c r="L2679" s="1467" t="s">
        <v>2127</v>
      </c>
      <c r="M2679" s="1468">
        <v>4.9036999999999997E-2</v>
      </c>
      <c r="N2679" s="1469">
        <v>1.7762678360193831</v>
      </c>
      <c r="O2679" s="1469"/>
    </row>
    <row r="2680" spans="11:15">
      <c r="K2680" s="1466">
        <v>44737</v>
      </c>
      <c r="L2680" s="1467"/>
      <c r="M2680" s="1468">
        <v>0</v>
      </c>
      <c r="N2680" s="1469">
        <v>1.7762678360193831</v>
      </c>
      <c r="O2680" s="1469"/>
    </row>
    <row r="2681" spans="11:15">
      <c r="K2681" s="1466">
        <v>44738</v>
      </c>
      <c r="L2681" s="1467"/>
      <c r="M2681" s="1468">
        <v>0</v>
      </c>
      <c r="N2681" s="1469">
        <v>1.7762678360193831</v>
      </c>
      <c r="O2681" s="1469"/>
    </row>
    <row r="2682" spans="11:15">
      <c r="K2682" s="1466">
        <v>44739</v>
      </c>
      <c r="L2682" s="1467" t="s">
        <v>2127</v>
      </c>
      <c r="M2682" s="1468">
        <v>4.9036999999999997E-2</v>
      </c>
      <c r="N2682" s="1469">
        <v>1.7771388644781321</v>
      </c>
      <c r="O2682" s="1469"/>
    </row>
    <row r="2683" spans="11:15">
      <c r="K2683" s="1466">
        <v>44740</v>
      </c>
      <c r="L2683" s="1467" t="s">
        <v>2127</v>
      </c>
      <c r="M2683" s="1468">
        <v>4.9036999999999997E-2</v>
      </c>
      <c r="N2683" s="1469">
        <v>1.7780103200631063</v>
      </c>
      <c r="O2683" s="1469"/>
    </row>
    <row r="2684" spans="11:15">
      <c r="K2684" s="1466">
        <v>44741</v>
      </c>
      <c r="L2684" s="1467" t="s">
        <v>2127</v>
      </c>
      <c r="M2684" s="1468">
        <v>4.9036999999999997E-2</v>
      </c>
      <c r="N2684" s="1469">
        <v>1.7788822029837559</v>
      </c>
      <c r="O2684" s="1469"/>
    </row>
    <row r="2685" spans="11:15">
      <c r="K2685" s="1466">
        <v>44742</v>
      </c>
      <c r="L2685" s="1467" t="s">
        <v>2127</v>
      </c>
      <c r="M2685" s="1468">
        <v>4.9036999999999997E-2</v>
      </c>
      <c r="N2685" s="1469">
        <v>1.7797545134496331</v>
      </c>
      <c r="O2685" s="1469"/>
    </row>
    <row r="2686" spans="11:15">
      <c r="K2686" s="1466">
        <v>44743</v>
      </c>
      <c r="L2686" s="1467" t="s">
        <v>2127</v>
      </c>
      <c r="M2686" s="1468">
        <v>4.9036999999999997E-2</v>
      </c>
      <c r="N2686" s="1469">
        <v>1.7806272516703936</v>
      </c>
      <c r="O2686" s="1469"/>
    </row>
    <row r="2687" spans="11:15">
      <c r="K2687" s="1466">
        <v>44744</v>
      </c>
      <c r="L2687" s="1467"/>
      <c r="M2687" s="1468">
        <v>0</v>
      </c>
      <c r="N2687" s="1469">
        <v>1.7806272516703936</v>
      </c>
      <c r="O2687" s="1469"/>
    </row>
    <row r="2688" spans="11:15">
      <c r="K2688" s="1466">
        <v>44745</v>
      </c>
      <c r="L2688" s="1467"/>
      <c r="M2688" s="1468">
        <v>0</v>
      </c>
      <c r="N2688" s="1469">
        <v>1.7806272516703936</v>
      </c>
      <c r="O2688" s="1469"/>
    </row>
    <row r="2689" spans="11:15">
      <c r="K2689" s="1466">
        <v>44746</v>
      </c>
      <c r="L2689" s="1467" t="s">
        <v>2127</v>
      </c>
      <c r="M2689" s="1468">
        <v>4.9036999999999997E-2</v>
      </c>
      <c r="N2689" s="1469">
        <v>1.7815004178557954</v>
      </c>
      <c r="O2689" s="1469"/>
    </row>
    <row r="2690" spans="11:15">
      <c r="K2690" s="1466">
        <v>44747</v>
      </c>
      <c r="L2690" s="1467" t="s">
        <v>2127</v>
      </c>
      <c r="M2690" s="1468">
        <v>4.9036999999999997E-2</v>
      </c>
      <c r="N2690" s="1469">
        <v>1.7823740122156995</v>
      </c>
      <c r="O2690" s="1469"/>
    </row>
    <row r="2691" spans="11:15">
      <c r="K2691" s="1466">
        <v>44748</v>
      </c>
      <c r="L2691" s="1467" t="s">
        <v>2127</v>
      </c>
      <c r="M2691" s="1468">
        <v>4.9036999999999997E-2</v>
      </c>
      <c r="N2691" s="1469">
        <v>1.7832480349600699</v>
      </c>
      <c r="O2691" s="1469"/>
    </row>
    <row r="2692" spans="11:15">
      <c r="K2692" s="1466">
        <v>44749</v>
      </c>
      <c r="L2692" s="1467" t="s">
        <v>2127</v>
      </c>
      <c r="M2692" s="1468">
        <v>4.9036999999999997E-2</v>
      </c>
      <c r="N2692" s="1469">
        <v>1.7841224862989733</v>
      </c>
      <c r="O2692" s="1469"/>
    </row>
    <row r="2693" spans="11:15">
      <c r="K2693" s="1466">
        <v>44750</v>
      </c>
      <c r="L2693" s="1467" t="s">
        <v>2127</v>
      </c>
      <c r="M2693" s="1468">
        <v>4.9036999999999997E-2</v>
      </c>
      <c r="N2693" s="1469">
        <v>1.7849973664425798</v>
      </c>
      <c r="O2693" s="1469"/>
    </row>
    <row r="2694" spans="11:15">
      <c r="K2694" s="1466">
        <v>44751</v>
      </c>
      <c r="L2694" s="1467"/>
      <c r="M2694" s="1468">
        <v>0</v>
      </c>
      <c r="N2694" s="1469">
        <v>1.7849973664425798</v>
      </c>
      <c r="O2694" s="1469"/>
    </row>
    <row r="2695" spans="11:15">
      <c r="K2695" s="1466">
        <v>44752</v>
      </c>
      <c r="L2695" s="1467"/>
      <c r="M2695" s="1468">
        <v>0</v>
      </c>
      <c r="N2695" s="1469">
        <v>1.7849973664425798</v>
      </c>
      <c r="O2695" s="1469"/>
    </row>
    <row r="2696" spans="11:15">
      <c r="K2696" s="1466">
        <v>44753</v>
      </c>
      <c r="L2696" s="1467" t="s">
        <v>2127</v>
      </c>
      <c r="M2696" s="1468">
        <v>4.9036999999999997E-2</v>
      </c>
      <c r="N2696" s="1469">
        <v>1.7858726756011623</v>
      </c>
      <c r="O2696" s="1469"/>
    </row>
    <row r="2697" spans="11:15">
      <c r="K2697" s="1466">
        <v>44754</v>
      </c>
      <c r="L2697" s="1467" t="s">
        <v>2127</v>
      </c>
      <c r="M2697" s="1468">
        <v>4.9036999999999997E-2</v>
      </c>
      <c r="N2697" s="1469">
        <v>1.7867484139850969</v>
      </c>
      <c r="O2697" s="1469"/>
    </row>
    <row r="2698" spans="11:15">
      <c r="K2698" s="1466">
        <v>44755</v>
      </c>
      <c r="L2698" s="1467" t="s">
        <v>2127</v>
      </c>
      <c r="M2698" s="1468">
        <v>4.9036999999999997E-2</v>
      </c>
      <c r="N2698" s="1469">
        <v>1.7876245818048628</v>
      </c>
      <c r="O2698" s="1469"/>
    </row>
    <row r="2699" spans="11:15">
      <c r="K2699" s="1466">
        <v>44756</v>
      </c>
      <c r="L2699" s="1467" t="s">
        <v>2127</v>
      </c>
      <c r="M2699" s="1468">
        <v>4.9036999999999997E-2</v>
      </c>
      <c r="N2699" s="1469">
        <v>1.7885011792710426</v>
      </c>
      <c r="O2699" s="1469"/>
    </row>
    <row r="2700" spans="11:15">
      <c r="K2700" s="1466">
        <v>44757</v>
      </c>
      <c r="L2700" s="1467" t="s">
        <v>2127</v>
      </c>
      <c r="M2700" s="1468">
        <v>4.9036999999999997E-2</v>
      </c>
      <c r="N2700" s="1469">
        <v>1.7893782065943218</v>
      </c>
      <c r="O2700" s="1469"/>
    </row>
    <row r="2701" spans="11:15">
      <c r="K2701" s="1466">
        <v>44758</v>
      </c>
      <c r="L2701" s="1467"/>
      <c r="M2701" s="1468">
        <v>0</v>
      </c>
      <c r="N2701" s="1469">
        <v>1.7893782065943218</v>
      </c>
      <c r="O2701" s="1469"/>
    </row>
    <row r="2702" spans="11:15">
      <c r="K2702" s="1466">
        <v>44759</v>
      </c>
      <c r="L2702" s="1467"/>
      <c r="M2702" s="1468">
        <v>0</v>
      </c>
      <c r="N2702" s="1469">
        <v>1.7893782065943218</v>
      </c>
      <c r="O2702" s="1469"/>
    </row>
    <row r="2703" spans="11:15">
      <c r="K2703" s="1466">
        <v>44760</v>
      </c>
      <c r="L2703" s="1467" t="s">
        <v>2127</v>
      </c>
      <c r="M2703" s="1468">
        <v>4.9036999999999997E-2</v>
      </c>
      <c r="N2703" s="1469">
        <v>1.7902556639854896</v>
      </c>
      <c r="O2703" s="1469"/>
    </row>
    <row r="2704" spans="11:15">
      <c r="K2704" s="1466">
        <v>44761</v>
      </c>
      <c r="L2704" s="1467" t="s">
        <v>2127</v>
      </c>
      <c r="M2704" s="1468">
        <v>4.9036999999999997E-2</v>
      </c>
      <c r="N2704" s="1469">
        <v>1.7911335516554383</v>
      </c>
      <c r="O2704" s="1469"/>
    </row>
    <row r="2705" spans="11:15">
      <c r="K2705" s="1466">
        <v>44762</v>
      </c>
      <c r="L2705" s="1467" t="s">
        <v>2127</v>
      </c>
      <c r="M2705" s="1468">
        <v>4.9036999999999997E-2</v>
      </c>
      <c r="N2705" s="1469">
        <v>1.7920118698151637</v>
      </c>
      <c r="O2705" s="1469"/>
    </row>
    <row r="2706" spans="11:15">
      <c r="K2706" s="1466">
        <v>44763</v>
      </c>
      <c r="L2706" s="1467" t="s">
        <v>2127</v>
      </c>
      <c r="M2706" s="1468">
        <v>4.9036999999999997E-2</v>
      </c>
      <c r="N2706" s="1469">
        <v>1.7928906186757652</v>
      </c>
      <c r="O2706" s="1469"/>
    </row>
    <row r="2707" spans="11:15">
      <c r="K2707" s="1466">
        <v>44764</v>
      </c>
      <c r="L2707" s="1467" t="s">
        <v>2127</v>
      </c>
      <c r="M2707" s="1468">
        <v>4.9036999999999997E-2</v>
      </c>
      <c r="N2707" s="1469">
        <v>1.7937697984484453</v>
      </c>
      <c r="O2707" s="1469"/>
    </row>
    <row r="2708" spans="11:15">
      <c r="K2708" s="1466">
        <v>44765</v>
      </c>
      <c r="L2708" s="1467"/>
      <c r="M2708" s="1468">
        <v>0</v>
      </c>
      <c r="N2708" s="1469">
        <v>1.7937697984484453</v>
      </c>
      <c r="O2708" s="1469"/>
    </row>
    <row r="2709" spans="11:15">
      <c r="K2709" s="1466">
        <v>44766</v>
      </c>
      <c r="L2709" s="1467"/>
      <c r="M2709" s="1468">
        <v>0</v>
      </c>
      <c r="N2709" s="1469">
        <v>1.7937697984484453</v>
      </c>
      <c r="O2709" s="1469"/>
    </row>
    <row r="2710" spans="11:15">
      <c r="K2710" s="1466">
        <v>44767</v>
      </c>
      <c r="L2710" s="1467" t="s">
        <v>2127</v>
      </c>
      <c r="M2710" s="1468">
        <v>4.9036999999999997E-2</v>
      </c>
      <c r="N2710" s="1469">
        <v>1.7946494093445107</v>
      </c>
      <c r="O2710" s="1469"/>
    </row>
    <row r="2711" spans="11:15">
      <c r="K2711" s="1466">
        <v>44768</v>
      </c>
      <c r="L2711" s="1467" t="s">
        <v>2127</v>
      </c>
      <c r="M2711" s="1468">
        <v>4.9036999999999997E-2</v>
      </c>
      <c r="N2711" s="1469">
        <v>1.795529451575371</v>
      </c>
      <c r="O2711" s="1469"/>
    </row>
    <row r="2712" spans="11:15">
      <c r="K2712" s="1466">
        <v>44769</v>
      </c>
      <c r="L2712" s="1467" t="s">
        <v>2127</v>
      </c>
      <c r="M2712" s="1468">
        <v>4.9036999999999997E-2</v>
      </c>
      <c r="N2712" s="1469">
        <v>1.7964099253525401</v>
      </c>
      <c r="O2712" s="1469"/>
    </row>
    <row r="2713" spans="11:15">
      <c r="K2713" s="1466">
        <v>44770</v>
      </c>
      <c r="L2713" s="1467" t="s">
        <v>2127</v>
      </c>
      <c r="M2713" s="1468">
        <v>4.9036999999999997E-2</v>
      </c>
      <c r="N2713" s="1469">
        <v>1.7972908308876354</v>
      </c>
      <c r="O2713" s="1469"/>
    </row>
    <row r="2714" spans="11:15">
      <c r="K2714" s="1466">
        <v>44771</v>
      </c>
      <c r="L2714" s="1467" t="s">
        <v>2127</v>
      </c>
      <c r="M2714" s="1468">
        <v>4.9036999999999997E-2</v>
      </c>
      <c r="N2714" s="1469">
        <v>1.7981721683923779</v>
      </c>
      <c r="O2714" s="1469"/>
    </row>
    <row r="2715" spans="11:15">
      <c r="K2715" s="1466">
        <v>44772</v>
      </c>
      <c r="L2715" s="1467"/>
      <c r="M2715" s="1468">
        <v>0</v>
      </c>
      <c r="N2715" s="1469">
        <v>1.7981721683923779</v>
      </c>
      <c r="O2715" s="1469"/>
    </row>
    <row r="2716" spans="11:15">
      <c r="K2716" s="1466">
        <v>44773</v>
      </c>
      <c r="L2716" s="1467"/>
      <c r="M2716" s="1468">
        <v>0</v>
      </c>
      <c r="N2716" s="1469">
        <v>1.7981721683923779</v>
      </c>
      <c r="O2716" s="1469"/>
    </row>
    <row r="2717" spans="11:15">
      <c r="K2717" s="1466">
        <v>44774</v>
      </c>
      <c r="L2717" s="1467" t="s">
        <v>2127</v>
      </c>
      <c r="M2717" s="1468">
        <v>4.9036999999999997E-2</v>
      </c>
      <c r="N2717" s="1469">
        <v>1.7990539380785926</v>
      </c>
      <c r="O2717" s="1469"/>
    </row>
    <row r="2718" spans="11:15">
      <c r="K2718" s="1466">
        <v>44775</v>
      </c>
      <c r="L2718" s="1467" t="s">
        <v>2127</v>
      </c>
      <c r="M2718" s="1468">
        <v>4.9036999999999997E-2</v>
      </c>
      <c r="N2718" s="1469">
        <v>1.7999361401582084</v>
      </c>
      <c r="O2718" s="1469"/>
    </row>
    <row r="2719" spans="11:15">
      <c r="K2719" s="1466">
        <v>44776</v>
      </c>
      <c r="L2719" s="1467" t="s">
        <v>2127</v>
      </c>
      <c r="M2719" s="1468">
        <v>4.9036999999999997E-2</v>
      </c>
      <c r="N2719" s="1469">
        <v>1.8008187748432578</v>
      </c>
      <c r="O2719" s="1469"/>
    </row>
    <row r="2720" spans="11:15">
      <c r="K2720" s="1466">
        <v>44777</v>
      </c>
      <c r="L2720" s="1467" t="s">
        <v>2127</v>
      </c>
      <c r="M2720" s="1468">
        <v>5.0788E-2</v>
      </c>
      <c r="N2720" s="1469">
        <v>1.8017333746826252</v>
      </c>
      <c r="O2720" s="1469"/>
    </row>
    <row r="2721" spans="11:15">
      <c r="K2721" s="1466">
        <v>44778</v>
      </c>
      <c r="L2721" s="1467" t="s">
        <v>2127</v>
      </c>
      <c r="M2721" s="1468">
        <v>5.0788E-2</v>
      </c>
      <c r="N2721" s="1469">
        <v>1.802648439028959</v>
      </c>
      <c r="O2721" s="1469"/>
    </row>
    <row r="2722" spans="11:15">
      <c r="K2722" s="1466">
        <v>44779</v>
      </c>
      <c r="L2722" s="1467"/>
      <c r="M2722" s="1468">
        <v>0</v>
      </c>
      <c r="N2722" s="1469">
        <v>1.802648439028959</v>
      </c>
      <c r="O2722" s="1469"/>
    </row>
    <row r="2723" spans="11:15">
      <c r="K2723" s="1466">
        <v>44780</v>
      </c>
      <c r="L2723" s="1467"/>
      <c r="M2723" s="1468">
        <v>0</v>
      </c>
      <c r="N2723" s="1469">
        <v>1.802648439028959</v>
      </c>
      <c r="O2723" s="1469"/>
    </row>
    <row r="2724" spans="11:15">
      <c r="K2724" s="1466">
        <v>44781</v>
      </c>
      <c r="L2724" s="1467" t="s">
        <v>2127</v>
      </c>
      <c r="M2724" s="1468">
        <v>5.0788E-2</v>
      </c>
      <c r="N2724" s="1469">
        <v>1.803563968118173</v>
      </c>
      <c r="O2724" s="1469"/>
    </row>
    <row r="2725" spans="11:15">
      <c r="K2725" s="1466">
        <v>44782</v>
      </c>
      <c r="L2725" s="1467" t="s">
        <v>2127</v>
      </c>
      <c r="M2725" s="1468">
        <v>5.0788E-2</v>
      </c>
      <c r="N2725" s="1469">
        <v>1.8044799621863008</v>
      </c>
      <c r="O2725" s="1469"/>
    </row>
    <row r="2726" spans="11:15">
      <c r="K2726" s="1466">
        <v>44783</v>
      </c>
      <c r="L2726" s="1467" t="s">
        <v>2127</v>
      </c>
      <c r="M2726" s="1468">
        <v>5.0788E-2</v>
      </c>
      <c r="N2726" s="1469">
        <v>1.805396421469496</v>
      </c>
      <c r="O2726" s="1469"/>
    </row>
    <row r="2727" spans="11:15">
      <c r="K2727" s="1466">
        <v>44784</v>
      </c>
      <c r="L2727" s="1467" t="s">
        <v>2127</v>
      </c>
      <c r="M2727" s="1468">
        <v>5.0788E-2</v>
      </c>
      <c r="N2727" s="1469">
        <v>1.8063133462040319</v>
      </c>
      <c r="O2727" s="1469"/>
    </row>
    <row r="2728" spans="11:15">
      <c r="K2728" s="1466">
        <v>44785</v>
      </c>
      <c r="L2728" s="1467" t="s">
        <v>2127</v>
      </c>
      <c r="M2728" s="1468">
        <v>5.0788E-2</v>
      </c>
      <c r="N2728" s="1469">
        <v>1.8072307366263021</v>
      </c>
      <c r="O2728" s="1469"/>
    </row>
    <row r="2729" spans="11:15">
      <c r="K2729" s="1466">
        <v>44786</v>
      </c>
      <c r="L2729" s="1467"/>
      <c r="M2729" s="1468">
        <v>0</v>
      </c>
      <c r="N2729" s="1469">
        <v>1.8072307366263021</v>
      </c>
      <c r="O2729" s="1469"/>
    </row>
    <row r="2730" spans="11:15">
      <c r="K2730" s="1466">
        <v>44787</v>
      </c>
      <c r="L2730" s="1467"/>
      <c r="M2730" s="1468">
        <v>0</v>
      </c>
      <c r="N2730" s="1469">
        <v>1.8072307366263021</v>
      </c>
      <c r="O2730" s="1469"/>
    </row>
    <row r="2731" spans="11:15">
      <c r="K2731" s="1466">
        <v>44788</v>
      </c>
      <c r="L2731" s="1467" t="s">
        <v>2127</v>
      </c>
      <c r="M2731" s="1468">
        <v>5.0788E-2</v>
      </c>
      <c r="N2731" s="1469">
        <v>1.8081485929728198</v>
      </c>
      <c r="O2731" s="1469"/>
    </row>
    <row r="2732" spans="11:15">
      <c r="K2732" s="1466">
        <v>44789</v>
      </c>
      <c r="L2732" s="1467" t="s">
        <v>2127</v>
      </c>
      <c r="M2732" s="1468">
        <v>5.0788E-2</v>
      </c>
      <c r="N2732" s="1469">
        <v>1.8090669154802188</v>
      </c>
      <c r="O2732" s="1469"/>
    </row>
    <row r="2733" spans="11:15">
      <c r="K2733" s="1466">
        <v>44790</v>
      </c>
      <c r="L2733" s="1467" t="s">
        <v>2127</v>
      </c>
      <c r="M2733" s="1468">
        <v>5.0788E-2</v>
      </c>
      <c r="N2733" s="1469">
        <v>1.809985704385253</v>
      </c>
      <c r="O2733" s="1469"/>
    </row>
    <row r="2734" spans="11:15">
      <c r="K2734" s="1466">
        <v>44791</v>
      </c>
      <c r="L2734" s="1467" t="s">
        <v>2127</v>
      </c>
      <c r="M2734" s="1468">
        <v>5.0788E-2</v>
      </c>
      <c r="N2734" s="1469">
        <v>1.8109049599247962</v>
      </c>
      <c r="O2734" s="1469"/>
    </row>
    <row r="2735" spans="11:15">
      <c r="K2735" s="1466">
        <v>44792</v>
      </c>
      <c r="L2735" s="1467" t="s">
        <v>2127</v>
      </c>
      <c r="M2735" s="1468">
        <v>5.0788E-2</v>
      </c>
      <c r="N2735" s="1469">
        <v>1.8118246823358428</v>
      </c>
      <c r="O2735" s="1469"/>
    </row>
    <row r="2736" spans="11:15">
      <c r="K2736" s="1466">
        <v>44793</v>
      </c>
      <c r="L2736" s="1467"/>
      <c r="M2736" s="1468">
        <v>0</v>
      </c>
      <c r="N2736" s="1469">
        <v>1.8118246823358428</v>
      </c>
      <c r="O2736" s="1469"/>
    </row>
    <row r="2737" spans="11:15">
      <c r="K2737" s="1466">
        <v>44794</v>
      </c>
      <c r="L2737" s="1467"/>
      <c r="M2737" s="1468">
        <v>0</v>
      </c>
      <c r="N2737" s="1469">
        <v>1.8118246823358428</v>
      </c>
      <c r="O2737" s="1469"/>
    </row>
    <row r="2738" spans="11:15">
      <c r="K2738" s="1466">
        <v>44795</v>
      </c>
      <c r="L2738" s="1467" t="s">
        <v>2127</v>
      </c>
      <c r="M2738" s="1468">
        <v>5.0788E-2</v>
      </c>
      <c r="N2738" s="1469">
        <v>1.8127448718555075</v>
      </c>
      <c r="O2738" s="1469"/>
    </row>
    <row r="2739" spans="11:15">
      <c r="K2739" s="1466">
        <v>44796</v>
      </c>
      <c r="L2739" s="1467" t="s">
        <v>2127</v>
      </c>
      <c r="M2739" s="1468">
        <v>5.0788E-2</v>
      </c>
      <c r="N2739" s="1469">
        <v>1.8136655287210255</v>
      </c>
      <c r="O2739" s="1469"/>
    </row>
    <row r="2740" spans="11:15">
      <c r="K2740" s="1466">
        <v>44797</v>
      </c>
      <c r="L2740" s="1467" t="s">
        <v>2127</v>
      </c>
      <c r="M2740" s="1468">
        <v>5.0788E-2</v>
      </c>
      <c r="N2740" s="1469">
        <v>1.8145866531697523</v>
      </c>
      <c r="O2740" s="1469"/>
    </row>
    <row r="2741" spans="11:15">
      <c r="K2741" s="1466">
        <v>44798</v>
      </c>
      <c r="L2741" s="1467" t="s">
        <v>2127</v>
      </c>
      <c r="M2741" s="1468">
        <v>5.0788E-2</v>
      </c>
      <c r="N2741" s="1469">
        <v>1.8155082454391642</v>
      </c>
      <c r="O2741" s="1469"/>
    </row>
    <row r="2742" spans="11:15">
      <c r="K2742" s="1466">
        <v>44799</v>
      </c>
      <c r="L2742" s="1467" t="s">
        <v>2127</v>
      </c>
      <c r="M2742" s="1468">
        <v>5.0788E-2</v>
      </c>
      <c r="N2742" s="1469">
        <v>1.8164303057668578</v>
      </c>
      <c r="O2742" s="1469"/>
    </row>
    <row r="2743" spans="11:15">
      <c r="K2743" s="1466">
        <v>44800</v>
      </c>
      <c r="L2743" s="1467"/>
      <c r="M2743" s="1468">
        <v>0</v>
      </c>
      <c r="N2743" s="1469">
        <v>1.8164303057668578</v>
      </c>
      <c r="O2743" s="1469"/>
    </row>
    <row r="2744" spans="11:15">
      <c r="K2744" s="1466">
        <v>44801</v>
      </c>
      <c r="L2744" s="1467"/>
      <c r="M2744" s="1468">
        <v>0</v>
      </c>
      <c r="N2744" s="1469">
        <v>1.8164303057668578</v>
      </c>
      <c r="O2744" s="1469"/>
    </row>
    <row r="2745" spans="11:15">
      <c r="K2745" s="1466">
        <v>44802</v>
      </c>
      <c r="L2745" s="1467" t="s">
        <v>2127</v>
      </c>
      <c r="M2745" s="1468">
        <v>5.0788E-2</v>
      </c>
      <c r="N2745" s="1469">
        <v>1.8173528343905507</v>
      </c>
      <c r="O2745" s="1469"/>
    </row>
    <row r="2746" spans="11:15">
      <c r="K2746" s="1466">
        <v>44803</v>
      </c>
      <c r="L2746" s="1467" t="s">
        <v>2127</v>
      </c>
      <c r="M2746" s="1468">
        <v>5.0788E-2</v>
      </c>
      <c r="N2746" s="1469">
        <v>1.8182758315480809</v>
      </c>
      <c r="O2746" s="1469"/>
    </row>
    <row r="2747" spans="11:15">
      <c r="K2747" s="1466">
        <v>44804</v>
      </c>
      <c r="L2747" s="1467" t="s">
        <v>2127</v>
      </c>
      <c r="M2747" s="1468">
        <v>5.0788E-2</v>
      </c>
      <c r="N2747" s="1469">
        <v>1.8191992974774076</v>
      </c>
      <c r="O2747" s="1469"/>
    </row>
    <row r="2748" spans="11:15">
      <c r="K2748" s="1466">
        <v>44805</v>
      </c>
      <c r="L2748" s="1467" t="s">
        <v>2127</v>
      </c>
      <c r="M2748" s="1468">
        <v>5.0788E-2</v>
      </c>
      <c r="N2748" s="1469">
        <v>1.8201232324166106</v>
      </c>
      <c r="O2748" s="1469"/>
    </row>
    <row r="2749" spans="11:15">
      <c r="K2749" s="1466">
        <v>44806</v>
      </c>
      <c r="L2749" s="1467" t="s">
        <v>2127</v>
      </c>
      <c r="M2749" s="1468">
        <v>5.0788E-2</v>
      </c>
      <c r="N2749" s="1469">
        <v>1.8210476366038904</v>
      </c>
      <c r="O2749" s="1469"/>
    </row>
    <row r="2750" spans="11:15">
      <c r="K2750" s="1466">
        <v>44807</v>
      </c>
      <c r="L2750" s="1467"/>
      <c r="M2750" s="1468">
        <v>0</v>
      </c>
      <c r="N2750" s="1469">
        <v>1.8210476366038904</v>
      </c>
      <c r="O2750" s="1469"/>
    </row>
    <row r="2751" spans="11:15">
      <c r="K2751" s="1466">
        <v>44808</v>
      </c>
      <c r="L2751" s="1467"/>
      <c r="M2751" s="1468">
        <v>0</v>
      </c>
      <c r="N2751" s="1469">
        <v>1.8210476366038904</v>
      </c>
      <c r="O2751" s="1469"/>
    </row>
    <row r="2752" spans="11:15">
      <c r="K2752" s="1466">
        <v>44809</v>
      </c>
      <c r="L2752" s="1467" t="s">
        <v>2127</v>
      </c>
      <c r="M2752" s="1468">
        <v>5.0788E-2</v>
      </c>
      <c r="N2752" s="1469">
        <v>1.8219725102775688</v>
      </c>
      <c r="O2752" s="1469"/>
    </row>
    <row r="2753" spans="11:15">
      <c r="K2753" s="1466">
        <v>44810</v>
      </c>
      <c r="L2753" s="1467" t="s">
        <v>2127</v>
      </c>
      <c r="M2753" s="1468">
        <v>5.0788E-2</v>
      </c>
      <c r="N2753" s="1469">
        <v>1.8228978536760887</v>
      </c>
      <c r="O2753" s="1469"/>
    </row>
    <row r="2754" spans="11:15">
      <c r="K2754" s="1466">
        <v>44811</v>
      </c>
      <c r="L2754" s="1467"/>
      <c r="M2754" s="1468">
        <v>0</v>
      </c>
      <c r="N2754" s="1469">
        <v>1.8228978536760887</v>
      </c>
      <c r="O2754" s="1469"/>
    </row>
    <row r="2755" spans="11:15">
      <c r="K2755" s="1466">
        <v>44812</v>
      </c>
      <c r="L2755" s="1467" t="s">
        <v>2127</v>
      </c>
      <c r="M2755" s="1468">
        <v>5.0788E-2</v>
      </c>
      <c r="N2755" s="1469">
        <v>1.8238236670380137</v>
      </c>
      <c r="O2755" s="1469"/>
    </row>
    <row r="2756" spans="11:15">
      <c r="K2756" s="1466">
        <v>44813</v>
      </c>
      <c r="L2756" s="1467" t="s">
        <v>2127</v>
      </c>
      <c r="M2756" s="1468">
        <v>5.0788E-2</v>
      </c>
      <c r="N2756" s="1469">
        <v>1.824749950602029</v>
      </c>
      <c r="O2756" s="1469"/>
    </row>
    <row r="2757" spans="11:15">
      <c r="K2757" s="1466">
        <v>44814</v>
      </c>
      <c r="L2757" s="1467"/>
      <c r="M2757" s="1468">
        <v>0</v>
      </c>
      <c r="N2757" s="1469">
        <v>1.824749950602029</v>
      </c>
      <c r="O2757" s="1469"/>
    </row>
    <row r="2758" spans="11:15">
      <c r="K2758" s="1466">
        <v>44815</v>
      </c>
      <c r="L2758" s="1467"/>
      <c r="M2758" s="1468">
        <v>0</v>
      </c>
      <c r="N2758" s="1469">
        <v>1.824749950602029</v>
      </c>
      <c r="O2758" s="1469"/>
    </row>
    <row r="2759" spans="11:15">
      <c r="K2759" s="1466">
        <v>44816</v>
      </c>
      <c r="L2759" s="1467" t="s">
        <v>2127</v>
      </c>
      <c r="M2759" s="1468">
        <v>5.0788E-2</v>
      </c>
      <c r="N2759" s="1469">
        <v>1.8256767046069409</v>
      </c>
      <c r="O2759" s="1469"/>
    </row>
    <row r="2760" spans="11:15">
      <c r="K2760" s="1466">
        <v>44817</v>
      </c>
      <c r="L2760" s="1467" t="s">
        <v>2127</v>
      </c>
      <c r="M2760" s="1468">
        <v>5.0788E-2</v>
      </c>
      <c r="N2760" s="1469">
        <v>1.8266039292916767</v>
      </c>
      <c r="O2760" s="1469"/>
    </row>
    <row r="2761" spans="11:15">
      <c r="K2761" s="1466">
        <v>44818</v>
      </c>
      <c r="L2761" s="1467" t="s">
        <v>2127</v>
      </c>
      <c r="M2761" s="1468">
        <v>5.0788E-2</v>
      </c>
      <c r="N2761" s="1469">
        <v>1.8275316248952853</v>
      </c>
      <c r="O2761" s="1469"/>
    </row>
    <row r="2762" spans="11:15">
      <c r="K2762" s="1466">
        <v>44819</v>
      </c>
      <c r="L2762" s="1467" t="s">
        <v>2127</v>
      </c>
      <c r="M2762" s="1468">
        <v>5.0788E-2</v>
      </c>
      <c r="N2762" s="1469">
        <v>1.8284597916569372</v>
      </c>
      <c r="O2762" s="1469"/>
    </row>
    <row r="2763" spans="11:15">
      <c r="K2763" s="1466">
        <v>44820</v>
      </c>
      <c r="L2763" s="1467" t="s">
        <v>2127</v>
      </c>
      <c r="M2763" s="1468">
        <v>5.0788E-2</v>
      </c>
      <c r="N2763" s="1469">
        <v>1.829388429815924</v>
      </c>
      <c r="O2763" s="1469"/>
    </row>
    <row r="2764" spans="11:15">
      <c r="K2764" s="1466">
        <v>44821</v>
      </c>
      <c r="L2764" s="1467"/>
      <c r="M2764" s="1468">
        <v>0</v>
      </c>
      <c r="N2764" s="1469">
        <v>1.829388429815924</v>
      </c>
      <c r="O2764" s="1469"/>
    </row>
    <row r="2765" spans="11:15">
      <c r="K2765" s="1466">
        <v>44822</v>
      </c>
      <c r="L2765" s="1467"/>
      <c r="M2765" s="1468">
        <v>0</v>
      </c>
      <c r="N2765" s="1469">
        <v>1.829388429815924</v>
      </c>
      <c r="O2765" s="1469"/>
    </row>
    <row r="2766" spans="11:15">
      <c r="K2766" s="1466">
        <v>44823</v>
      </c>
      <c r="L2766" s="1467" t="s">
        <v>2127</v>
      </c>
      <c r="M2766" s="1468">
        <v>5.0788E-2</v>
      </c>
      <c r="N2766" s="1469">
        <v>1.8303175396116589</v>
      </c>
      <c r="O2766" s="1469"/>
    </row>
    <row r="2767" spans="11:15">
      <c r="K2767" s="1466">
        <v>44824</v>
      </c>
      <c r="L2767" s="1467" t="s">
        <v>2127</v>
      </c>
      <c r="M2767" s="1468">
        <v>5.0788E-2</v>
      </c>
      <c r="N2767" s="1469">
        <v>1.8312471212836769</v>
      </c>
      <c r="O2767" s="1469"/>
    </row>
    <row r="2768" spans="11:15">
      <c r="K2768" s="1466">
        <v>44825</v>
      </c>
      <c r="L2768" s="1467" t="s">
        <v>2127</v>
      </c>
      <c r="M2768" s="1468">
        <v>5.0788E-2</v>
      </c>
      <c r="N2768" s="1469">
        <v>1.8321771750716345</v>
      </c>
      <c r="O2768" s="1469"/>
    </row>
    <row r="2769" spans="11:15">
      <c r="K2769" s="1466">
        <v>44826</v>
      </c>
      <c r="L2769" s="1467" t="s">
        <v>2127</v>
      </c>
      <c r="M2769" s="1468">
        <v>5.0788E-2</v>
      </c>
      <c r="N2769" s="1469">
        <v>1.8331077012153099</v>
      </c>
      <c r="O2769" s="1469"/>
    </row>
    <row r="2770" spans="11:15">
      <c r="K2770" s="1466">
        <v>44827</v>
      </c>
      <c r="L2770" s="1467" t="s">
        <v>2127</v>
      </c>
      <c r="M2770" s="1468">
        <v>5.0788E-2</v>
      </c>
      <c r="N2770" s="1469">
        <v>1.8340386999546032</v>
      </c>
      <c r="O2770" s="1469"/>
    </row>
    <row r="2771" spans="11:15">
      <c r="K2771" s="1466">
        <v>44828</v>
      </c>
      <c r="L2771" s="1467"/>
      <c r="M2771" s="1468">
        <v>0</v>
      </c>
      <c r="N2771" s="1469">
        <v>1.8340386999546032</v>
      </c>
      <c r="O2771" s="1469"/>
    </row>
    <row r="2772" spans="11:15">
      <c r="K2772" s="1466">
        <v>44829</v>
      </c>
      <c r="L2772" s="1467"/>
      <c r="M2772" s="1468">
        <v>0</v>
      </c>
      <c r="N2772" s="1469">
        <v>1.8340386999546032</v>
      </c>
      <c r="O2772" s="1469"/>
    </row>
    <row r="2773" spans="11:15">
      <c r="K2773" s="1466">
        <v>44830</v>
      </c>
      <c r="L2773" s="1467" t="s">
        <v>2127</v>
      </c>
      <c r="M2773" s="1468">
        <v>5.0788E-2</v>
      </c>
      <c r="N2773" s="1469">
        <v>1.8349701715295361</v>
      </c>
      <c r="O2773" s="1469"/>
    </row>
    <row r="2774" spans="11:15">
      <c r="K2774" s="1466">
        <v>44831</v>
      </c>
      <c r="L2774" s="1467" t="s">
        <v>2127</v>
      </c>
      <c r="M2774" s="1468">
        <v>5.0788E-2</v>
      </c>
      <c r="N2774" s="1469">
        <v>1.8359021161802527</v>
      </c>
      <c r="O2774" s="1469"/>
    </row>
    <row r="2775" spans="11:15">
      <c r="K2775" s="1466">
        <v>44832</v>
      </c>
      <c r="L2775" s="1467" t="s">
        <v>2127</v>
      </c>
      <c r="M2775" s="1468">
        <v>5.0788E-2</v>
      </c>
      <c r="N2775" s="1469">
        <v>1.8368345341470182</v>
      </c>
      <c r="O2775" s="1469"/>
    </row>
    <row r="2776" spans="11:15">
      <c r="K2776" s="1466">
        <v>44833</v>
      </c>
      <c r="L2776" s="1467" t="s">
        <v>2127</v>
      </c>
      <c r="M2776" s="1468">
        <v>5.0788E-2</v>
      </c>
      <c r="N2776" s="1469">
        <v>1.8377674256702208</v>
      </c>
      <c r="O2776" s="1469"/>
    </row>
    <row r="2777" spans="11:15">
      <c r="K2777" s="1466">
        <v>44834</v>
      </c>
      <c r="L2777" s="1467" t="s">
        <v>2127</v>
      </c>
      <c r="M2777" s="1468">
        <v>5.0788E-2</v>
      </c>
      <c r="N2777" s="1469">
        <v>1.8387007909903701</v>
      </c>
      <c r="O2777" s="1469"/>
    </row>
    <row r="2778" spans="11:15">
      <c r="K2778" s="1466">
        <v>44835</v>
      </c>
      <c r="L2778" s="1467"/>
      <c r="M2778" s="1468">
        <v>0</v>
      </c>
      <c r="N2778" s="1469">
        <v>1.8387007909903701</v>
      </c>
      <c r="O2778" s="1469"/>
    </row>
    <row r="2779" spans="11:15">
      <c r="K2779" s="1466">
        <v>44836</v>
      </c>
      <c r="L2779" s="1467"/>
      <c r="M2779" s="1468">
        <v>0</v>
      </c>
      <c r="N2779" s="1469">
        <v>1.8387007909903701</v>
      </c>
      <c r="O2779" s="1469"/>
    </row>
    <row r="2780" spans="11:15">
      <c r="K2780" s="1466">
        <v>44837</v>
      </c>
      <c r="L2780" s="1467" t="s">
        <v>2127</v>
      </c>
      <c r="M2780" s="1468">
        <v>5.0788E-2</v>
      </c>
      <c r="N2780" s="1469">
        <v>1.8396346303480984</v>
      </c>
      <c r="O2780" s="1469"/>
    </row>
    <row r="2781" spans="11:15">
      <c r="K2781" s="1466">
        <v>44838</v>
      </c>
      <c r="L2781" s="1467" t="s">
        <v>2127</v>
      </c>
      <c r="M2781" s="1468">
        <v>5.0788E-2</v>
      </c>
      <c r="N2781" s="1469">
        <v>1.8405689439841595</v>
      </c>
      <c r="O2781" s="1469"/>
    </row>
    <row r="2782" spans="11:15">
      <c r="K2782" s="1466">
        <v>44839</v>
      </c>
      <c r="L2782" s="1467" t="s">
        <v>2127</v>
      </c>
      <c r="M2782" s="1468">
        <v>5.0788E-2</v>
      </c>
      <c r="N2782" s="1469">
        <v>1.8415037321394301</v>
      </c>
      <c r="O2782" s="1469"/>
    </row>
    <row r="2783" spans="11:15">
      <c r="K2783" s="1466">
        <v>44840</v>
      </c>
      <c r="L2783" s="1467" t="s">
        <v>2127</v>
      </c>
      <c r="M2783" s="1468">
        <v>5.0788E-2</v>
      </c>
      <c r="N2783" s="1469">
        <v>1.8424389950549092</v>
      </c>
      <c r="O2783" s="1469"/>
    </row>
    <row r="2784" spans="11:15">
      <c r="K2784" s="1466">
        <v>44841</v>
      </c>
      <c r="L2784" s="1467" t="s">
        <v>2127</v>
      </c>
      <c r="M2784" s="1468">
        <v>5.0788E-2</v>
      </c>
      <c r="N2784" s="1469">
        <v>1.8433747329717176</v>
      </c>
      <c r="O2784" s="1469"/>
    </row>
    <row r="2785" spans="11:15">
      <c r="K2785" s="1466">
        <v>44842</v>
      </c>
      <c r="L2785" s="1467"/>
      <c r="M2785" s="1468">
        <v>0</v>
      </c>
      <c r="N2785" s="1469">
        <v>1.8433747329717176</v>
      </c>
      <c r="O2785" s="1469"/>
    </row>
    <row r="2786" spans="11:15">
      <c r="K2786" s="1466">
        <v>44843</v>
      </c>
      <c r="L2786" s="1467"/>
      <c r="M2786" s="1468">
        <v>0</v>
      </c>
      <c r="N2786" s="1469">
        <v>1.8433747329717176</v>
      </c>
      <c r="O2786" s="1469"/>
    </row>
    <row r="2787" spans="11:15">
      <c r="K2787" s="1466">
        <v>44844</v>
      </c>
      <c r="L2787" s="1467" t="s">
        <v>2127</v>
      </c>
      <c r="M2787" s="1468">
        <v>5.0788E-2</v>
      </c>
      <c r="N2787" s="1469">
        <v>1.8443109461310994</v>
      </c>
      <c r="O2787" s="1469"/>
    </row>
    <row r="2788" spans="11:15">
      <c r="K2788" s="1466">
        <v>44845</v>
      </c>
      <c r="L2788" s="1467" t="s">
        <v>2127</v>
      </c>
      <c r="M2788" s="1468">
        <v>5.0788E-2</v>
      </c>
      <c r="N2788" s="1469">
        <v>1.8452476347744204</v>
      </c>
      <c r="O2788" s="1469"/>
    </row>
    <row r="2789" spans="11:15">
      <c r="K2789" s="1466">
        <v>44846</v>
      </c>
      <c r="L2789" s="1467"/>
      <c r="M2789" s="1468">
        <v>0</v>
      </c>
      <c r="N2789" s="1469">
        <v>1.8452476347744204</v>
      </c>
      <c r="O2789" s="1469"/>
    </row>
    <row r="2790" spans="11:15">
      <c r="K2790" s="1466">
        <v>44847</v>
      </c>
      <c r="L2790" s="1467" t="s">
        <v>2127</v>
      </c>
      <c r="M2790" s="1468">
        <v>5.0788E-2</v>
      </c>
      <c r="N2790" s="1469">
        <v>1.8461847991431697</v>
      </c>
      <c r="O2790" s="1469"/>
    </row>
    <row r="2791" spans="11:15">
      <c r="K2791" s="1466">
        <v>44848</v>
      </c>
      <c r="L2791" s="1467" t="s">
        <v>2127</v>
      </c>
      <c r="M2791" s="1468">
        <v>5.0788E-2</v>
      </c>
      <c r="N2791" s="1469">
        <v>1.8471224394789585</v>
      </c>
      <c r="O2791" s="1469"/>
    </row>
    <row r="2792" spans="11:15">
      <c r="K2792" s="1466">
        <v>44849</v>
      </c>
      <c r="L2792" s="1467"/>
      <c r="M2792" s="1468">
        <v>0</v>
      </c>
      <c r="N2792" s="1469">
        <v>1.8471224394789585</v>
      </c>
      <c r="O2792" s="1469"/>
    </row>
    <row r="2793" spans="11:15">
      <c r="K2793" s="1466">
        <v>44850</v>
      </c>
      <c r="L2793" s="1467"/>
      <c r="M2793" s="1468">
        <v>0</v>
      </c>
      <c r="N2793" s="1469">
        <v>1.8471224394789585</v>
      </c>
      <c r="O2793" s="1469"/>
    </row>
    <row r="2794" spans="11:15">
      <c r="K2794" s="1466">
        <v>44851</v>
      </c>
      <c r="L2794" s="1467" t="s">
        <v>2127</v>
      </c>
      <c r="M2794" s="1468">
        <v>5.0788E-2</v>
      </c>
      <c r="N2794" s="1469">
        <v>1.848060556023521</v>
      </c>
      <c r="O2794" s="1469"/>
    </row>
    <row r="2795" spans="11:15">
      <c r="K2795" s="1466">
        <v>44852</v>
      </c>
      <c r="L2795" s="1467" t="s">
        <v>2127</v>
      </c>
      <c r="M2795" s="1468">
        <v>5.0788E-2</v>
      </c>
      <c r="N2795" s="1469">
        <v>1.8489991490187143</v>
      </c>
      <c r="O2795" s="1469"/>
    </row>
    <row r="2796" spans="11:15">
      <c r="K2796" s="1466">
        <v>44853</v>
      </c>
      <c r="L2796" s="1467" t="s">
        <v>2127</v>
      </c>
      <c r="M2796" s="1468">
        <v>5.0788E-2</v>
      </c>
      <c r="N2796" s="1469">
        <v>1.8499382187065179</v>
      </c>
      <c r="O2796" s="1469"/>
    </row>
    <row r="2797" spans="11:15">
      <c r="K2797" s="1466">
        <v>44854</v>
      </c>
      <c r="L2797" s="1467" t="s">
        <v>2127</v>
      </c>
      <c r="M2797" s="1468">
        <v>5.0788E-2</v>
      </c>
      <c r="N2797" s="1469">
        <v>1.8508777653290345</v>
      </c>
      <c r="O2797" s="1469"/>
    </row>
    <row r="2798" spans="11:15">
      <c r="K2798" s="1466">
        <v>44855</v>
      </c>
      <c r="L2798" s="1467" t="s">
        <v>2127</v>
      </c>
      <c r="M2798" s="1468">
        <v>5.0788E-2</v>
      </c>
      <c r="N2798" s="1469">
        <v>1.8518177891284897</v>
      </c>
      <c r="O2798" s="1469"/>
    </row>
    <row r="2799" spans="11:15">
      <c r="K2799" s="1466">
        <v>44856</v>
      </c>
      <c r="L2799" s="1467"/>
      <c r="M2799" s="1468">
        <v>0</v>
      </c>
      <c r="N2799" s="1469">
        <v>1.8518177891284897</v>
      </c>
      <c r="O2799" s="1469"/>
    </row>
    <row r="2800" spans="11:15">
      <c r="K2800" s="1466">
        <v>44857</v>
      </c>
      <c r="L2800" s="1467"/>
      <c r="M2800" s="1468">
        <v>0</v>
      </c>
      <c r="N2800" s="1469">
        <v>1.8518177891284897</v>
      </c>
      <c r="O2800" s="1469"/>
    </row>
    <row r="2801" spans="11:15">
      <c r="K2801" s="1466">
        <v>44858</v>
      </c>
      <c r="L2801" s="1467" t="s">
        <v>2127</v>
      </c>
      <c r="M2801" s="1468">
        <v>5.0788E-2</v>
      </c>
      <c r="N2801" s="1469">
        <v>1.8527582903472324</v>
      </c>
      <c r="O2801" s="1469"/>
    </row>
    <row r="2802" spans="11:15">
      <c r="K2802" s="1466">
        <v>44859</v>
      </c>
      <c r="L2802" s="1467" t="s">
        <v>2127</v>
      </c>
      <c r="M2802" s="1468">
        <v>5.0788E-2</v>
      </c>
      <c r="N2802" s="1469">
        <v>1.8536992692277339</v>
      </c>
      <c r="O2802" s="1469"/>
    </row>
    <row r="2803" spans="11:15">
      <c r="K2803" s="1466">
        <v>44860</v>
      </c>
      <c r="L2803" s="1467" t="s">
        <v>2127</v>
      </c>
      <c r="M2803" s="1468">
        <v>5.0788E-2</v>
      </c>
      <c r="N2803" s="1469">
        <v>1.8546407260125892</v>
      </c>
      <c r="O2803" s="1469"/>
    </row>
    <row r="2804" spans="11:15">
      <c r="K2804" s="1466">
        <v>44861</v>
      </c>
      <c r="L2804" s="1467" t="s">
        <v>2127</v>
      </c>
      <c r="M2804" s="1468">
        <v>5.0788E-2</v>
      </c>
      <c r="N2804" s="1469">
        <v>1.8555826609445165</v>
      </c>
      <c r="O2804" s="1469"/>
    </row>
    <row r="2805" spans="11:15">
      <c r="K2805" s="1466">
        <v>44862</v>
      </c>
      <c r="L2805" s="1467" t="s">
        <v>2127</v>
      </c>
      <c r="M2805" s="1468">
        <v>5.0788E-2</v>
      </c>
      <c r="N2805" s="1469">
        <v>1.856525074266357</v>
      </c>
      <c r="O2805" s="1469"/>
    </row>
    <row r="2806" spans="11:15">
      <c r="K2806" s="1466">
        <v>44863</v>
      </c>
      <c r="L2806" s="1467"/>
      <c r="M2806" s="1468">
        <v>0</v>
      </c>
      <c r="N2806" s="1469">
        <v>1.856525074266357</v>
      </c>
      <c r="O2806" s="1469"/>
    </row>
    <row r="2807" spans="11:15">
      <c r="K2807" s="1466">
        <v>44864</v>
      </c>
      <c r="L2807" s="1467"/>
      <c r="M2807" s="1468">
        <v>0</v>
      </c>
      <c r="N2807" s="1469">
        <v>1.856525074266357</v>
      </c>
      <c r="O2807" s="1469"/>
    </row>
    <row r="2808" spans="11:15">
      <c r="K2808" s="1466">
        <v>44865</v>
      </c>
      <c r="L2808" s="1467" t="s">
        <v>2127</v>
      </c>
      <c r="M2808" s="1468">
        <v>5.0788E-2</v>
      </c>
      <c r="N2808" s="1469">
        <v>1.8574679662210756</v>
      </c>
      <c r="O2808" s="1469"/>
    </row>
    <row r="2809" spans="11:15">
      <c r="K2809" s="1466">
        <v>44866</v>
      </c>
      <c r="L2809" s="1467" t="s">
        <v>2127</v>
      </c>
      <c r="M2809" s="1468">
        <v>5.0788E-2</v>
      </c>
      <c r="N2809" s="1469">
        <v>1.8584113370517599</v>
      </c>
      <c r="O2809" s="1469"/>
    </row>
    <row r="2810" spans="11:15">
      <c r="K2810" s="1466">
        <v>44867</v>
      </c>
      <c r="L2810" s="1467"/>
      <c r="M2810" s="1468">
        <v>0</v>
      </c>
      <c r="N2810" s="1469">
        <v>1.8584113370517599</v>
      </c>
      <c r="O2810" s="1469"/>
    </row>
    <row r="2811" spans="11:15">
      <c r="K2811" s="1466">
        <v>44868</v>
      </c>
      <c r="L2811" s="1467" t="s">
        <v>2127</v>
      </c>
      <c r="M2811" s="1468">
        <v>5.0788E-2</v>
      </c>
      <c r="N2811" s="1469">
        <v>1.8593551870016218</v>
      </c>
      <c r="O2811" s="1469"/>
    </row>
    <row r="2812" spans="11:15">
      <c r="K2812" s="1466">
        <v>44869</v>
      </c>
      <c r="L2812" s="1467" t="s">
        <v>2127</v>
      </c>
      <c r="M2812" s="1468">
        <v>5.0788E-2</v>
      </c>
      <c r="N2812" s="1469">
        <v>1.8602995163139961</v>
      </c>
      <c r="O2812" s="1469"/>
    </row>
    <row r="2813" spans="11:15">
      <c r="K2813" s="1466">
        <v>44870</v>
      </c>
      <c r="L2813" s="1467"/>
      <c r="M2813" s="1468">
        <v>0</v>
      </c>
      <c r="N2813" s="1469">
        <v>1.8602995163139961</v>
      </c>
      <c r="O2813" s="1469"/>
    </row>
    <row r="2814" spans="11:15">
      <c r="K2814" s="1466">
        <v>44871</v>
      </c>
      <c r="L2814" s="1467"/>
      <c r="M2814" s="1468">
        <v>0</v>
      </c>
      <c r="N2814" s="1469">
        <v>1.8602995163139961</v>
      </c>
      <c r="O2814" s="1469"/>
    </row>
    <row r="2815" spans="11:15">
      <c r="K2815" s="1466">
        <v>44872</v>
      </c>
      <c r="L2815" s="1467" t="s">
        <v>2127</v>
      </c>
      <c r="M2815" s="1468">
        <v>5.0788E-2</v>
      </c>
      <c r="N2815" s="1469">
        <v>1.8612443252323416</v>
      </c>
      <c r="O2815" s="1469"/>
    </row>
    <row r="2816" spans="11:15">
      <c r="K2816" s="1466">
        <v>44873</v>
      </c>
      <c r="L2816" s="1467" t="s">
        <v>2127</v>
      </c>
      <c r="M2816" s="1468">
        <v>5.0788E-2</v>
      </c>
      <c r="N2816" s="1469">
        <v>1.8621896140002407</v>
      </c>
      <c r="O2816" s="1469"/>
    </row>
    <row r="2817" spans="11:15">
      <c r="K2817" s="1466">
        <v>44874</v>
      </c>
      <c r="L2817" s="1467" t="s">
        <v>2127</v>
      </c>
      <c r="M2817" s="1468">
        <v>5.0788E-2</v>
      </c>
      <c r="N2817" s="1469">
        <v>1.8631353828613992</v>
      </c>
      <c r="O2817" s="1469"/>
    </row>
    <row r="2818" spans="11:15">
      <c r="K2818" s="1466">
        <v>44875</v>
      </c>
      <c r="L2818" s="1467" t="s">
        <v>2127</v>
      </c>
      <c r="M2818" s="1468">
        <v>5.0788E-2</v>
      </c>
      <c r="N2818" s="1469">
        <v>1.8640816320596469</v>
      </c>
      <c r="O2818" s="1469"/>
    </row>
    <row r="2819" spans="11:15">
      <c r="K2819" s="1466">
        <v>44876</v>
      </c>
      <c r="L2819" s="1467" t="s">
        <v>2127</v>
      </c>
      <c r="M2819" s="1468">
        <v>5.0788E-2</v>
      </c>
      <c r="N2819" s="1469">
        <v>1.8650283618389374</v>
      </c>
      <c r="O2819" s="1469"/>
    </row>
    <row r="2820" spans="11:15">
      <c r="K2820" s="1466">
        <v>44877</v>
      </c>
      <c r="L2820" s="1467"/>
      <c r="M2820" s="1468">
        <v>0</v>
      </c>
      <c r="N2820" s="1469">
        <v>1.8650283618389374</v>
      </c>
      <c r="O2820" s="1469"/>
    </row>
    <row r="2821" spans="11:15">
      <c r="K2821" s="1466">
        <v>44878</v>
      </c>
      <c r="L2821" s="1467"/>
      <c r="M2821" s="1468">
        <v>0</v>
      </c>
      <c r="N2821" s="1469">
        <v>1.8650283618389374</v>
      </c>
      <c r="O2821" s="1469"/>
    </row>
    <row r="2822" spans="11:15">
      <c r="K2822" s="1466">
        <v>44879</v>
      </c>
      <c r="L2822" s="1467" t="s">
        <v>2127</v>
      </c>
      <c r="M2822" s="1468">
        <v>5.0788E-2</v>
      </c>
      <c r="N2822" s="1469">
        <v>1.8659755724433482</v>
      </c>
      <c r="O2822" s="1469"/>
    </row>
    <row r="2823" spans="11:15">
      <c r="K2823" s="1466">
        <v>44880</v>
      </c>
      <c r="L2823" s="1467"/>
      <c r="M2823" s="1468">
        <v>0</v>
      </c>
      <c r="N2823" s="1469">
        <v>1.8659755724433482</v>
      </c>
      <c r="O2823" s="1469"/>
    </row>
    <row r="2824" spans="11:15">
      <c r="K2824" s="1466">
        <v>44881</v>
      </c>
      <c r="L2824" s="1467" t="s">
        <v>2127</v>
      </c>
      <c r="M2824" s="1468">
        <v>5.0788E-2</v>
      </c>
      <c r="N2824" s="1469">
        <v>1.8669232641170808</v>
      </c>
      <c r="O2824" s="1469"/>
    </row>
    <row r="2825" spans="11:15">
      <c r="K2825" s="1466">
        <v>44882</v>
      </c>
      <c r="L2825" s="1467" t="s">
        <v>2127</v>
      </c>
      <c r="M2825" s="1468">
        <v>5.0788E-2</v>
      </c>
      <c r="N2825" s="1469">
        <v>1.8678714371044605</v>
      </c>
      <c r="O2825" s="1469"/>
    </row>
    <row r="2826" spans="11:15">
      <c r="K2826" s="1466">
        <v>44883</v>
      </c>
      <c r="L2826" s="1467" t="s">
        <v>2127</v>
      </c>
      <c r="M2826" s="1468">
        <v>5.0788E-2</v>
      </c>
      <c r="N2826" s="1469">
        <v>1.8688200916499371</v>
      </c>
      <c r="O2826" s="1469"/>
    </row>
    <row r="2827" spans="11:15">
      <c r="K2827" s="1466">
        <v>44884</v>
      </c>
      <c r="L2827" s="1467"/>
      <c r="M2827" s="1468">
        <v>0</v>
      </c>
      <c r="N2827" s="1469">
        <v>1.8688200916499371</v>
      </c>
      <c r="O2827" s="1469"/>
    </row>
    <row r="2828" spans="11:15">
      <c r="K2828" s="1466">
        <v>44885</v>
      </c>
      <c r="L2828" s="1467"/>
      <c r="M2828" s="1468">
        <v>0</v>
      </c>
      <c r="N2828" s="1469">
        <v>1.8688200916499371</v>
      </c>
      <c r="O2828" s="1469"/>
    </row>
    <row r="2829" spans="11:15">
      <c r="K2829" s="1466">
        <v>44886</v>
      </c>
      <c r="L2829" s="1467" t="s">
        <v>2127</v>
      </c>
      <c r="M2829" s="1468">
        <v>5.0788E-2</v>
      </c>
      <c r="N2829" s="1469">
        <v>1.8697692279980844</v>
      </c>
      <c r="O2829" s="1469"/>
    </row>
    <row r="2830" spans="11:15">
      <c r="K2830" s="1466">
        <v>44887</v>
      </c>
      <c r="L2830" s="1467" t="s">
        <v>2127</v>
      </c>
      <c r="M2830" s="1468">
        <v>5.0788E-2</v>
      </c>
      <c r="N2830" s="1469">
        <v>1.8707188463936002</v>
      </c>
      <c r="O2830" s="1469"/>
    </row>
    <row r="2831" spans="11:15">
      <c r="K2831" s="1466">
        <v>44888</v>
      </c>
      <c r="L2831" s="1467" t="s">
        <v>2127</v>
      </c>
      <c r="M2831" s="1468">
        <v>5.0788E-2</v>
      </c>
      <c r="N2831" s="1469">
        <v>1.8716689470813066</v>
      </c>
      <c r="O2831" s="1469"/>
    </row>
    <row r="2832" spans="11:15">
      <c r="K2832" s="1466">
        <v>44889</v>
      </c>
      <c r="L2832" s="1467" t="s">
        <v>2127</v>
      </c>
      <c r="M2832" s="1468">
        <v>5.0788E-2</v>
      </c>
      <c r="N2832" s="1469">
        <v>1.8726195303061504</v>
      </c>
      <c r="O2832" s="1469"/>
    </row>
    <row r="2833" spans="11:15">
      <c r="K2833" s="1466">
        <v>44890</v>
      </c>
      <c r="L2833" s="1467" t="s">
        <v>2127</v>
      </c>
      <c r="M2833" s="1468">
        <v>5.0788E-2</v>
      </c>
      <c r="N2833" s="1469">
        <v>1.8735705963132023</v>
      </c>
      <c r="O2833" s="1469"/>
    </row>
    <row r="2834" spans="11:15">
      <c r="K2834" s="1466">
        <v>44891</v>
      </c>
      <c r="L2834" s="1467"/>
      <c r="M2834" s="1468">
        <v>0</v>
      </c>
      <c r="N2834" s="1469">
        <v>1.8735705963132023</v>
      </c>
      <c r="O2834" s="1469"/>
    </row>
    <row r="2835" spans="11:15">
      <c r="K2835" s="1466">
        <v>44892</v>
      </c>
      <c r="L2835" s="1467"/>
      <c r="M2835" s="1468">
        <v>0</v>
      </c>
      <c r="N2835" s="1469">
        <v>1.8735705963132023</v>
      </c>
      <c r="O2835" s="1469"/>
    </row>
    <row r="2836" spans="11:15">
      <c r="K2836" s="1466">
        <v>44893</v>
      </c>
      <c r="L2836" s="1467" t="s">
        <v>2127</v>
      </c>
      <c r="M2836" s="1468">
        <v>5.0788E-2</v>
      </c>
      <c r="N2836" s="1469">
        <v>1.8745221453476579</v>
      </c>
      <c r="O2836" s="1469"/>
    </row>
    <row r="2837" spans="11:15">
      <c r="K2837" s="1466">
        <v>44894</v>
      </c>
      <c r="L2837" s="1467" t="s">
        <v>2127</v>
      </c>
      <c r="M2837" s="1468">
        <v>5.0788E-2</v>
      </c>
      <c r="N2837" s="1469">
        <v>1.8754741776548371</v>
      </c>
      <c r="O2837" s="1469"/>
    </row>
    <row r="2838" spans="11:15">
      <c r="K2838" s="1466">
        <v>44895</v>
      </c>
      <c r="L2838" s="1467" t="s">
        <v>2127</v>
      </c>
      <c r="M2838" s="1468">
        <v>5.0788E-2</v>
      </c>
      <c r="N2838" s="1469">
        <v>1.8764266934801845</v>
      </c>
      <c r="O2838" s="1469"/>
    </row>
    <row r="2839" spans="11:15">
      <c r="K2839" s="1466">
        <v>44896</v>
      </c>
      <c r="L2839" s="1467" t="s">
        <v>2127</v>
      </c>
      <c r="M2839" s="1468">
        <v>5.0788E-2</v>
      </c>
      <c r="N2839" s="1469">
        <v>1.8773796930692692</v>
      </c>
      <c r="O2839" s="1469"/>
    </row>
    <row r="2840" spans="11:15">
      <c r="K2840" s="1466">
        <v>44897</v>
      </c>
      <c r="L2840" s="1467" t="s">
        <v>2127</v>
      </c>
      <c r="M2840" s="1468">
        <v>5.0788E-2</v>
      </c>
      <c r="N2840" s="1469">
        <v>1.8783331766677853</v>
      </c>
      <c r="O2840" s="1469"/>
    </row>
    <row r="2841" spans="11:15">
      <c r="K2841" s="1466">
        <v>44898</v>
      </c>
      <c r="L2841" s="1467"/>
      <c r="M2841" s="1468">
        <v>0</v>
      </c>
      <c r="N2841" s="1469">
        <v>1.8783331766677853</v>
      </c>
      <c r="O2841" s="1469"/>
    </row>
    <row r="2842" spans="11:15">
      <c r="K2842" s="1466">
        <v>44899</v>
      </c>
      <c r="L2842" s="1467"/>
      <c r="M2842" s="1468">
        <v>0</v>
      </c>
      <c r="N2842" s="1469">
        <v>1.8783331766677853</v>
      </c>
      <c r="O2842" s="1469"/>
    </row>
    <row r="2843" spans="11:15">
      <c r="K2843" s="1466">
        <v>44900</v>
      </c>
      <c r="L2843" s="1467" t="s">
        <v>2127</v>
      </c>
      <c r="M2843" s="1468">
        <v>5.0788E-2</v>
      </c>
      <c r="N2843" s="1469">
        <v>1.8792871445215513</v>
      </c>
      <c r="O2843" s="1469"/>
    </row>
    <row r="2844" spans="11:15">
      <c r="K2844" s="1466">
        <v>44901</v>
      </c>
      <c r="L2844" s="1467" t="s">
        <v>2127</v>
      </c>
      <c r="M2844" s="1468">
        <v>5.0788E-2</v>
      </c>
      <c r="N2844" s="1469">
        <v>1.8802415968765109</v>
      </c>
      <c r="O2844" s="1469"/>
    </row>
    <row r="2845" spans="11:15">
      <c r="K2845" s="1466">
        <v>44902</v>
      </c>
      <c r="L2845" s="1467" t="s">
        <v>2127</v>
      </c>
      <c r="M2845" s="1468">
        <v>5.0788E-2</v>
      </c>
      <c r="N2845" s="1469">
        <v>1.8811965339787327</v>
      </c>
      <c r="O2845" s="1469"/>
    </row>
    <row r="2846" spans="11:15">
      <c r="K2846" s="1466">
        <v>44903</v>
      </c>
      <c r="L2846" s="1467" t="s">
        <v>2127</v>
      </c>
      <c r="M2846" s="1468">
        <v>5.0788E-2</v>
      </c>
      <c r="N2846" s="1469">
        <v>1.8821519560744098</v>
      </c>
      <c r="O2846" s="1469"/>
    </row>
    <row r="2847" spans="11:15">
      <c r="K2847" s="1466">
        <v>44904</v>
      </c>
      <c r="L2847" s="1467" t="s">
        <v>2127</v>
      </c>
      <c r="M2847" s="1468">
        <v>5.0788E-2</v>
      </c>
      <c r="N2847" s="1469">
        <v>1.8831078634098608</v>
      </c>
      <c r="O2847" s="1469"/>
    </row>
    <row r="2848" spans="11:15">
      <c r="K2848" s="1466">
        <v>44905</v>
      </c>
      <c r="L2848" s="1467"/>
      <c r="M2848" s="1468">
        <v>0</v>
      </c>
      <c r="N2848" s="1469">
        <v>1.8831078634098608</v>
      </c>
      <c r="O2848" s="1469"/>
    </row>
    <row r="2849" spans="11:15">
      <c r="K2849" s="1466">
        <v>44906</v>
      </c>
      <c r="L2849" s="1467"/>
      <c r="M2849" s="1468">
        <v>0</v>
      </c>
      <c r="N2849" s="1469">
        <v>1.8831078634098608</v>
      </c>
      <c r="O2849" s="1469"/>
    </row>
    <row r="2850" spans="11:15">
      <c r="K2850" s="1466">
        <v>44907</v>
      </c>
      <c r="L2850" s="1467" t="s">
        <v>2127</v>
      </c>
      <c r="M2850" s="1468">
        <v>5.0788E-2</v>
      </c>
      <c r="N2850" s="1469">
        <v>1.8840642562315295</v>
      </c>
      <c r="O2850" s="1469"/>
    </row>
    <row r="2851" spans="11:15">
      <c r="K2851" s="1466">
        <v>44908</v>
      </c>
      <c r="L2851" s="1467" t="s">
        <v>2127</v>
      </c>
      <c r="M2851" s="1468">
        <v>5.0788E-2</v>
      </c>
      <c r="N2851" s="1469">
        <v>1.8850211347859844</v>
      </c>
      <c r="O2851" s="1469"/>
    </row>
    <row r="2852" spans="11:15">
      <c r="K2852" s="1466">
        <v>44909</v>
      </c>
      <c r="L2852" s="1467" t="s">
        <v>2127</v>
      </c>
      <c r="M2852" s="1468">
        <v>5.0788E-2</v>
      </c>
      <c r="N2852" s="1469">
        <v>1.8859784993199196</v>
      </c>
      <c r="O2852" s="1469"/>
    </row>
    <row r="2853" spans="11:15">
      <c r="K2853" s="1466">
        <v>44910</v>
      </c>
      <c r="L2853" s="1467" t="s">
        <v>2127</v>
      </c>
      <c r="M2853" s="1468">
        <v>5.0788E-2</v>
      </c>
      <c r="N2853" s="1469">
        <v>1.8869363500801541</v>
      </c>
      <c r="O2853" s="1469"/>
    </row>
    <row r="2854" spans="11:15">
      <c r="K2854" s="1466">
        <v>44911</v>
      </c>
      <c r="L2854" s="1467" t="s">
        <v>2127</v>
      </c>
      <c r="M2854" s="1468">
        <v>5.0788E-2</v>
      </c>
      <c r="N2854" s="1469">
        <v>1.8878946873136329</v>
      </c>
      <c r="O2854" s="1469"/>
    </row>
    <row r="2855" spans="11:15">
      <c r="K2855" s="1466">
        <v>44912</v>
      </c>
      <c r="L2855" s="1467"/>
      <c r="M2855" s="1468">
        <v>0</v>
      </c>
      <c r="N2855" s="1469">
        <v>1.8878946873136329</v>
      </c>
      <c r="O2855" s="1469"/>
    </row>
    <row r="2856" spans="11:15">
      <c r="K2856" s="1466">
        <v>44913</v>
      </c>
      <c r="L2856" s="1467"/>
      <c r="M2856" s="1468">
        <v>0</v>
      </c>
      <c r="N2856" s="1469">
        <v>1.8878946873136329</v>
      </c>
      <c r="O2856" s="1469"/>
    </row>
    <row r="2857" spans="11:15">
      <c r="K2857" s="1466">
        <v>44914</v>
      </c>
      <c r="L2857" s="1467" t="s">
        <v>2127</v>
      </c>
      <c r="M2857" s="1468">
        <v>5.0788E-2</v>
      </c>
      <c r="N2857" s="1469">
        <v>1.8888535112674258</v>
      </c>
      <c r="O2857" s="1469"/>
    </row>
    <row r="2858" spans="11:15">
      <c r="K2858" s="1466">
        <v>44915</v>
      </c>
      <c r="L2858" s="1467" t="s">
        <v>2127</v>
      </c>
      <c r="M2858" s="1468">
        <v>5.0788E-2</v>
      </c>
      <c r="N2858" s="1469">
        <v>1.8898128221887285</v>
      </c>
      <c r="O2858" s="1469"/>
    </row>
    <row r="2859" spans="11:15">
      <c r="K2859" s="1466">
        <v>44916</v>
      </c>
      <c r="L2859" s="1467" t="s">
        <v>2127</v>
      </c>
      <c r="M2859" s="1468">
        <v>5.0788E-2</v>
      </c>
      <c r="N2859" s="1469">
        <v>1.8907726203248618</v>
      </c>
      <c r="O2859" s="1469"/>
    </row>
    <row r="2860" spans="11:15">
      <c r="K2860" s="1466">
        <v>44917</v>
      </c>
      <c r="L2860" s="1467" t="s">
        <v>2127</v>
      </c>
      <c r="M2860" s="1468">
        <v>5.0788E-2</v>
      </c>
      <c r="N2860" s="1469">
        <v>1.8917329059232724</v>
      </c>
      <c r="O2860" s="1469"/>
    </row>
    <row r="2861" spans="11:15">
      <c r="K2861" s="1466">
        <v>44918</v>
      </c>
      <c r="L2861" s="1467" t="s">
        <v>2127</v>
      </c>
      <c r="M2861" s="1468">
        <v>5.0788E-2</v>
      </c>
      <c r="N2861" s="1469">
        <v>1.8926936792315328</v>
      </c>
      <c r="O2861" s="1469"/>
    </row>
    <row r="2862" spans="11:15">
      <c r="K2862" s="1466">
        <v>44919</v>
      </c>
      <c r="L2862" s="1467"/>
      <c r="M2862" s="1468">
        <v>0</v>
      </c>
      <c r="N2862" s="1469">
        <v>1.8926936792315328</v>
      </c>
      <c r="O2862" s="1469"/>
    </row>
    <row r="2863" spans="11:15">
      <c r="K2863" s="1466">
        <v>44920</v>
      </c>
      <c r="L2863" s="1467"/>
      <c r="M2863" s="1468">
        <v>0</v>
      </c>
      <c r="N2863" s="1469">
        <v>1.8926936792315328</v>
      </c>
      <c r="O2863" s="1469"/>
    </row>
    <row r="2864" spans="11:15">
      <c r="K2864" s="1466">
        <v>44921</v>
      </c>
      <c r="L2864" s="1467" t="s">
        <v>2127</v>
      </c>
      <c r="M2864" s="1468">
        <v>5.0788E-2</v>
      </c>
      <c r="N2864" s="1469">
        <v>1.8936549404973408</v>
      </c>
      <c r="O2864" s="1469"/>
    </row>
    <row r="2865" spans="11:15">
      <c r="K2865" s="1466">
        <v>44922</v>
      </c>
      <c r="L2865" s="1467" t="s">
        <v>2127</v>
      </c>
      <c r="M2865" s="1468">
        <v>5.0788E-2</v>
      </c>
      <c r="N2865" s="1469">
        <v>1.8946166899685206</v>
      </c>
      <c r="O2865" s="1469"/>
    </row>
    <row r="2866" spans="11:15">
      <c r="K2866" s="1466">
        <v>44923</v>
      </c>
      <c r="L2866" s="1467" t="s">
        <v>2127</v>
      </c>
      <c r="M2866" s="1468">
        <v>5.0788E-2</v>
      </c>
      <c r="N2866" s="1469">
        <v>1.895578927893022</v>
      </c>
      <c r="O2866" s="1469"/>
    </row>
    <row r="2867" spans="11:15">
      <c r="K2867" s="1466">
        <v>44924</v>
      </c>
      <c r="L2867" s="1467" t="s">
        <v>2127</v>
      </c>
      <c r="M2867" s="1468">
        <v>5.0788E-2</v>
      </c>
      <c r="N2867" s="1469">
        <v>1.8965416545189202</v>
      </c>
      <c r="O2867" s="1469"/>
    </row>
    <row r="2868" spans="11:15">
      <c r="K2868" s="1466">
        <v>44925</v>
      </c>
      <c r="L2868" s="1467" t="s">
        <v>2127</v>
      </c>
      <c r="M2868" s="1468">
        <v>5.0788E-2</v>
      </c>
      <c r="N2868" s="1469">
        <v>1.8975048700944173</v>
      </c>
      <c r="O2868" s="1469"/>
    </row>
    <row r="2869" spans="11:15">
      <c r="K2869" s="1466">
        <v>44926</v>
      </c>
      <c r="L2869" s="1467"/>
      <c r="M2869" s="1468">
        <v>0</v>
      </c>
      <c r="N2869" s="1469">
        <v>1.8975048700944173</v>
      </c>
      <c r="O2869" s="1469"/>
    </row>
    <row r="2870" spans="11:15">
      <c r="K2870" s="1466">
        <v>44927</v>
      </c>
      <c r="L2870" s="1467"/>
      <c r="M2870" s="1468">
        <v>0</v>
      </c>
      <c r="N2870" s="1469">
        <v>1.8975048700944173</v>
      </c>
      <c r="O2870" s="1469"/>
    </row>
    <row r="2871" spans="11:15">
      <c r="K2871" s="1466">
        <v>44928</v>
      </c>
      <c r="L2871" s="1467" t="s">
        <v>2127</v>
      </c>
      <c r="M2871" s="1468">
        <v>5.0788E-2</v>
      </c>
      <c r="N2871" s="1469">
        <v>1.8984685748678409</v>
      </c>
      <c r="O2871" s="1469"/>
    </row>
    <row r="2872" spans="11:15">
      <c r="K2872" s="1466">
        <v>44929</v>
      </c>
      <c r="L2872" s="1467" t="s">
        <v>2127</v>
      </c>
      <c r="M2872" s="1468">
        <v>5.0788E-2</v>
      </c>
      <c r="N2872" s="1469">
        <v>1.8994327690876449</v>
      </c>
      <c r="O2872" s="1469"/>
    </row>
    <row r="2873" spans="11:15">
      <c r="K2873" s="1466">
        <v>44930</v>
      </c>
      <c r="L2873" s="1467" t="s">
        <v>2127</v>
      </c>
      <c r="M2873" s="1468">
        <v>5.0788E-2</v>
      </c>
      <c r="N2873" s="1469">
        <v>1.9003974530024093</v>
      </c>
      <c r="O2873" s="1469"/>
    </row>
    <row r="2874" spans="11:15">
      <c r="K2874" s="1466">
        <v>44931</v>
      </c>
      <c r="L2874" s="1467" t="s">
        <v>2127</v>
      </c>
      <c r="M2874" s="1468">
        <v>5.0788E-2</v>
      </c>
      <c r="N2874" s="1469">
        <v>1.9013626268608401</v>
      </c>
      <c r="O2874" s="1469"/>
    </row>
    <row r="2875" spans="11:15">
      <c r="K2875" s="1466">
        <v>44932</v>
      </c>
      <c r="L2875" s="1467" t="s">
        <v>2127</v>
      </c>
      <c r="M2875" s="1468">
        <v>5.0788E-2</v>
      </c>
      <c r="N2875" s="1469">
        <v>1.9023282909117702</v>
      </c>
      <c r="O2875" s="1469"/>
    </row>
    <row r="2876" spans="11:15">
      <c r="K2876" s="1466">
        <v>44933</v>
      </c>
      <c r="L2876" s="1467"/>
      <c r="M2876" s="1468">
        <v>0</v>
      </c>
      <c r="N2876" s="1469">
        <v>1.9023282909117702</v>
      </c>
      <c r="O2876" s="1469"/>
    </row>
    <row r="2877" spans="11:15">
      <c r="K2877" s="1466">
        <v>44934</v>
      </c>
      <c r="L2877" s="1467"/>
      <c r="M2877" s="1468">
        <v>0</v>
      </c>
      <c r="N2877" s="1469">
        <v>1.9023282909117702</v>
      </c>
      <c r="O2877" s="1469"/>
    </row>
    <row r="2878" spans="11:15">
      <c r="K2878" s="1466">
        <v>44935</v>
      </c>
      <c r="L2878" s="1467" t="s">
        <v>2127</v>
      </c>
      <c r="M2878" s="1468">
        <v>5.0788E-2</v>
      </c>
      <c r="N2878" s="1469">
        <v>1.9032944454041585</v>
      </c>
      <c r="O2878" s="1469"/>
    </row>
    <row r="2879" spans="11:15">
      <c r="K2879" s="1466">
        <v>44936</v>
      </c>
      <c r="L2879" s="1467" t="s">
        <v>2127</v>
      </c>
      <c r="M2879" s="1468">
        <v>5.0788E-2</v>
      </c>
      <c r="N2879" s="1469">
        <v>1.9042610905870905</v>
      </c>
      <c r="O2879" s="1469"/>
    </row>
    <row r="2880" spans="11:15">
      <c r="K2880" s="1466">
        <v>44937</v>
      </c>
      <c r="L2880" s="1467" t="s">
        <v>2127</v>
      </c>
      <c r="M2880" s="1468">
        <v>5.0788E-2</v>
      </c>
      <c r="N2880" s="1469">
        <v>1.905228226709778</v>
      </c>
      <c r="O2880" s="1469"/>
    </row>
    <row r="2881" spans="11:15">
      <c r="K2881" s="1466">
        <v>44938</v>
      </c>
      <c r="L2881" s="1467" t="s">
        <v>2127</v>
      </c>
      <c r="M2881" s="1468">
        <v>5.0788E-2</v>
      </c>
      <c r="N2881" s="1469">
        <v>1.9061958540215593</v>
      </c>
      <c r="O2881" s="1469"/>
    </row>
    <row r="2882" spans="11:15">
      <c r="K2882" s="1466">
        <v>44939</v>
      </c>
      <c r="L2882" s="1467" t="s">
        <v>2127</v>
      </c>
      <c r="M2882" s="1468">
        <v>5.0788E-2</v>
      </c>
      <c r="N2882" s="1469">
        <v>1.9071639727718999</v>
      </c>
      <c r="O2882" s="1469"/>
    </row>
    <row r="2883" spans="11:15">
      <c r="K2883" s="1466">
        <v>44940</v>
      </c>
      <c r="L2883" s="1467"/>
      <c r="M2883" s="1468">
        <v>0</v>
      </c>
      <c r="N2883" s="1469">
        <v>1.9071639727718999</v>
      </c>
      <c r="O2883" s="1469"/>
    </row>
    <row r="2884" spans="11:15">
      <c r="K2884" s="1466">
        <v>44941</v>
      </c>
      <c r="L2884" s="1467"/>
      <c r="M2884" s="1468">
        <v>0</v>
      </c>
      <c r="N2884" s="1469">
        <v>1.9071639727718999</v>
      </c>
      <c r="O2884" s="1469"/>
    </row>
    <row r="2885" spans="11:15">
      <c r="K2885" s="1466">
        <v>44942</v>
      </c>
      <c r="L2885" s="1467" t="s">
        <v>2127</v>
      </c>
      <c r="M2885" s="1468">
        <v>5.0788E-2</v>
      </c>
      <c r="N2885" s="1469">
        <v>1.9081325832103913</v>
      </c>
      <c r="O2885" s="1469"/>
    </row>
    <row r="2886" spans="11:15">
      <c r="K2886" s="1466">
        <v>44943</v>
      </c>
      <c r="L2886" s="1467" t="s">
        <v>2127</v>
      </c>
      <c r="M2886" s="1468">
        <v>5.0788E-2</v>
      </c>
      <c r="N2886" s="1469">
        <v>1.9091016855867522</v>
      </c>
      <c r="O2886" s="1469"/>
    </row>
    <row r="2887" spans="11:15">
      <c r="K2887" s="1466">
        <v>44944</v>
      </c>
      <c r="L2887" s="1467" t="s">
        <v>2127</v>
      </c>
      <c r="M2887" s="1468">
        <v>5.0788E-2</v>
      </c>
      <c r="N2887" s="1469">
        <v>1.9100712801508279</v>
      </c>
      <c r="O2887" s="1469"/>
    </row>
    <row r="2888" spans="11:15">
      <c r="K2888" s="1466">
        <v>44945</v>
      </c>
      <c r="L2888" s="1467" t="s">
        <v>2127</v>
      </c>
      <c r="M2888" s="1468">
        <v>5.0788E-2</v>
      </c>
      <c r="N2888" s="1469">
        <v>1.911041367152591</v>
      </c>
      <c r="O2888" s="1469"/>
    </row>
    <row r="2889" spans="11:15">
      <c r="K2889" s="1466">
        <v>44946</v>
      </c>
      <c r="L2889" s="1467" t="s">
        <v>2127</v>
      </c>
      <c r="M2889" s="1468">
        <v>5.0788E-2</v>
      </c>
      <c r="N2889" s="1469">
        <v>1.9120119468421404</v>
      </c>
      <c r="O2889" s="1469"/>
    </row>
    <row r="2890" spans="11:15">
      <c r="K2890" s="1466">
        <v>44947</v>
      </c>
      <c r="L2890" s="1467"/>
      <c r="M2890" s="1468">
        <v>0</v>
      </c>
      <c r="N2890" s="1469">
        <v>1.9120119468421404</v>
      </c>
      <c r="O2890" s="1469"/>
    </row>
    <row r="2891" spans="11:15">
      <c r="K2891" s="1466">
        <v>44948</v>
      </c>
      <c r="L2891" s="1467"/>
      <c r="M2891" s="1468">
        <v>0</v>
      </c>
      <c r="N2891" s="1469">
        <v>1.9120119468421404</v>
      </c>
      <c r="O2891" s="1469"/>
    </row>
    <row r="2892" spans="11:15">
      <c r="K2892" s="1466">
        <v>44949</v>
      </c>
      <c r="L2892" s="1467" t="s">
        <v>2127</v>
      </c>
      <c r="M2892" s="1468">
        <v>5.0788E-2</v>
      </c>
      <c r="N2892" s="1469">
        <v>1.9129830194697026</v>
      </c>
      <c r="O2892" s="1469"/>
    </row>
    <row r="2893" spans="11:15">
      <c r="K2893" s="1466">
        <v>44950</v>
      </c>
      <c r="L2893" s="1467" t="s">
        <v>2127</v>
      </c>
      <c r="M2893" s="1468">
        <v>5.0788E-2</v>
      </c>
      <c r="N2893" s="1469">
        <v>1.913954585285631</v>
      </c>
      <c r="O2893" s="1469"/>
    </row>
    <row r="2894" spans="11:15">
      <c r="K2894" s="1466">
        <v>44951</v>
      </c>
      <c r="L2894" s="1467" t="s">
        <v>2127</v>
      </c>
      <c r="M2894" s="1468">
        <v>5.0788E-2</v>
      </c>
      <c r="N2894" s="1469">
        <v>1.9149266445404058</v>
      </c>
      <c r="O2894" s="1469"/>
    </row>
    <row r="2895" spans="11:15">
      <c r="K2895" s="1466">
        <v>44952</v>
      </c>
      <c r="L2895" s="1467" t="s">
        <v>2127</v>
      </c>
      <c r="M2895" s="1468">
        <v>5.0788E-2</v>
      </c>
      <c r="N2895" s="1469">
        <v>1.9158991974846351</v>
      </c>
      <c r="O2895" s="1469"/>
    </row>
    <row r="2896" spans="11:15">
      <c r="K2896" s="1466">
        <v>44953</v>
      </c>
      <c r="L2896" s="1467" t="s">
        <v>2127</v>
      </c>
      <c r="M2896" s="1468">
        <v>5.0788E-2</v>
      </c>
      <c r="N2896" s="1469">
        <v>1.9168722443690536</v>
      </c>
      <c r="O2896" s="1469"/>
    </row>
    <row r="2897" spans="11:15">
      <c r="K2897" s="1466">
        <v>44954</v>
      </c>
      <c r="L2897" s="1467"/>
      <c r="M2897" s="1468">
        <v>0</v>
      </c>
      <c r="N2897" s="1469">
        <v>1.9168722443690536</v>
      </c>
      <c r="O2897" s="1469"/>
    </row>
    <row r="2898" spans="11:15">
      <c r="K2898" s="1466">
        <v>44955</v>
      </c>
      <c r="L2898" s="1467"/>
      <c r="M2898" s="1468">
        <v>0</v>
      </c>
      <c r="N2898" s="1469">
        <v>1.9168722443690536</v>
      </c>
      <c r="O2898" s="1469"/>
    </row>
    <row r="2899" spans="11:15">
      <c r="K2899" s="1466">
        <v>44956</v>
      </c>
      <c r="L2899" s="1467" t="s">
        <v>2127</v>
      </c>
      <c r="M2899" s="1468">
        <v>5.0788E-2</v>
      </c>
      <c r="N2899" s="1469">
        <v>1.9178457854445237</v>
      </c>
      <c r="O2899" s="1469"/>
    </row>
    <row r="2900" spans="11:15">
      <c r="K2900" s="1466">
        <v>44957</v>
      </c>
      <c r="L2900" s="1467" t="s">
        <v>2127</v>
      </c>
      <c r="M2900" s="1468">
        <v>5.0788E-2</v>
      </c>
      <c r="N2900" s="1469">
        <v>1.9188198209620353</v>
      </c>
      <c r="O2900" s="1469"/>
    </row>
    <row r="2901" spans="11:15">
      <c r="K2901" s="1466">
        <v>44958</v>
      </c>
      <c r="L2901" s="1467" t="s">
        <v>2127</v>
      </c>
      <c r="M2901" s="1468">
        <v>5.0788E-2</v>
      </c>
      <c r="N2901" s="1469">
        <v>1.9197943511727056</v>
      </c>
      <c r="O2901" s="1469"/>
    </row>
    <row r="2902" spans="11:15">
      <c r="K2902" s="1466">
        <v>44959</v>
      </c>
      <c r="L2902" s="1467" t="s">
        <v>2127</v>
      </c>
      <c r="M2902" s="1468">
        <v>5.0788E-2</v>
      </c>
      <c r="N2902" s="1469">
        <v>1.9207693763277791</v>
      </c>
      <c r="O2902" s="1469"/>
    </row>
    <row r="2903" spans="11:15">
      <c r="K2903" s="1466">
        <v>44960</v>
      </c>
      <c r="L2903" s="1467" t="s">
        <v>2127</v>
      </c>
      <c r="M2903" s="1468">
        <v>5.0788E-2</v>
      </c>
      <c r="N2903" s="1469">
        <v>1.9217448966786286</v>
      </c>
      <c r="O2903" s="1469"/>
    </row>
    <row r="2904" spans="11:15">
      <c r="K2904" s="1466">
        <v>44961</v>
      </c>
      <c r="L2904" s="1467"/>
      <c r="M2904" s="1468">
        <v>0</v>
      </c>
      <c r="N2904" s="1469">
        <v>1.9217448966786286</v>
      </c>
      <c r="O2904" s="1469"/>
    </row>
    <row r="2905" spans="11:15">
      <c r="K2905" s="1466">
        <v>44962</v>
      </c>
      <c r="L2905" s="1467"/>
      <c r="M2905" s="1468">
        <v>0</v>
      </c>
      <c r="N2905" s="1469">
        <v>1.9217448966786286</v>
      </c>
      <c r="O2905" s="1469"/>
    </row>
    <row r="2906" spans="11:15">
      <c r="K2906" s="1466">
        <v>44963</v>
      </c>
      <c r="L2906" s="1467" t="s">
        <v>2127</v>
      </c>
      <c r="M2906" s="1468">
        <v>5.0788E-2</v>
      </c>
      <c r="N2906" s="1469">
        <v>1.9227209124767537</v>
      </c>
      <c r="O2906" s="1469"/>
    </row>
    <row r="2907" spans="11:15">
      <c r="K2907" s="1466">
        <v>44964</v>
      </c>
      <c r="L2907" s="1467" t="s">
        <v>2127</v>
      </c>
      <c r="M2907" s="1468">
        <v>5.0788E-2</v>
      </c>
      <c r="N2907" s="1469">
        <v>1.9236974239737825</v>
      </c>
      <c r="O2907" s="1469"/>
    </row>
    <row r="2908" spans="11:15">
      <c r="K2908" s="1466">
        <v>44965</v>
      </c>
      <c r="L2908" s="1467" t="s">
        <v>2127</v>
      </c>
      <c r="M2908" s="1468">
        <v>5.0788E-2</v>
      </c>
      <c r="N2908" s="1469">
        <v>1.9246744314214703</v>
      </c>
      <c r="O2908" s="1469"/>
    </row>
    <row r="2909" spans="11:15">
      <c r="K2909" s="1466">
        <v>44966</v>
      </c>
      <c r="L2909" s="1467" t="s">
        <v>2127</v>
      </c>
      <c r="M2909" s="1468">
        <v>5.0788E-2</v>
      </c>
      <c r="N2909" s="1469">
        <v>1.9256519350717007</v>
      </c>
      <c r="O2909" s="1469"/>
    </row>
    <row r="2910" spans="11:15">
      <c r="K2910" s="1466">
        <v>44967</v>
      </c>
      <c r="L2910" s="1467" t="s">
        <v>2127</v>
      </c>
      <c r="M2910" s="1468">
        <v>5.0788E-2</v>
      </c>
      <c r="N2910" s="1469">
        <v>1.9266299351764851</v>
      </c>
      <c r="O2910" s="1469"/>
    </row>
    <row r="2911" spans="11:15">
      <c r="K2911" s="1466">
        <v>44968</v>
      </c>
      <c r="L2911" s="1467"/>
      <c r="M2911" s="1468">
        <v>0</v>
      </c>
      <c r="N2911" s="1469">
        <v>1.9266299351764851</v>
      </c>
      <c r="O2911" s="1469"/>
    </row>
    <row r="2912" spans="11:15">
      <c r="K2912" s="1466">
        <v>44969</v>
      </c>
      <c r="L2912" s="1467"/>
      <c r="M2912" s="1468">
        <v>0</v>
      </c>
      <c r="N2912" s="1469">
        <v>1.9266299351764851</v>
      </c>
      <c r="O2912" s="1469"/>
    </row>
    <row r="2913" spans="11:15">
      <c r="K2913" s="1466">
        <v>44970</v>
      </c>
      <c r="L2913" s="1467" t="s">
        <v>2127</v>
      </c>
      <c r="M2913" s="1468">
        <v>5.0788E-2</v>
      </c>
      <c r="N2913" s="1469">
        <v>1.9276084319879625</v>
      </c>
      <c r="O2913" s="1469"/>
    </row>
    <row r="2914" spans="11:15">
      <c r="K2914" s="1466">
        <v>44971</v>
      </c>
      <c r="L2914" s="1467" t="s">
        <v>2127</v>
      </c>
      <c r="M2914" s="1468">
        <v>5.0788E-2</v>
      </c>
      <c r="N2914" s="1469">
        <v>1.9285874257584006</v>
      </c>
      <c r="O2914" s="1469"/>
    </row>
    <row r="2915" spans="11:15">
      <c r="K2915" s="1466">
        <v>44972</v>
      </c>
      <c r="L2915" s="1467" t="s">
        <v>2127</v>
      </c>
      <c r="M2915" s="1468">
        <v>5.0788E-2</v>
      </c>
      <c r="N2915" s="1469">
        <v>1.9295669167401948</v>
      </c>
      <c r="O2915" s="1469"/>
    </row>
    <row r="2916" spans="11:15">
      <c r="K2916" s="1466">
        <v>44973</v>
      </c>
      <c r="L2916" s="1467" t="s">
        <v>2127</v>
      </c>
      <c r="M2916" s="1468">
        <v>5.0788E-2</v>
      </c>
      <c r="N2916" s="1469">
        <v>1.9305469051858688</v>
      </c>
      <c r="O2916" s="1469"/>
    </row>
    <row r="2917" spans="11:15">
      <c r="K2917" s="1466">
        <v>44974</v>
      </c>
      <c r="L2917" s="1467" t="s">
        <v>2127</v>
      </c>
      <c r="M2917" s="1468">
        <v>5.0788E-2</v>
      </c>
      <c r="N2917" s="1469">
        <v>1.9315273913480746</v>
      </c>
      <c r="O2917" s="1469"/>
    </row>
    <row r="2918" spans="11:15">
      <c r="K2918" s="1466">
        <v>44975</v>
      </c>
      <c r="L2918" s="1467"/>
      <c r="M2918" s="1468">
        <v>0</v>
      </c>
      <c r="N2918" s="1469">
        <v>1.9315273913480746</v>
      </c>
      <c r="O2918" s="1469"/>
    </row>
    <row r="2919" spans="11:15">
      <c r="K2919" s="1466">
        <v>44976</v>
      </c>
      <c r="L2919" s="1467"/>
      <c r="M2919" s="1468">
        <v>0</v>
      </c>
      <c r="N2919" s="1469">
        <v>1.9315273913480746</v>
      </c>
      <c r="O2919" s="1469"/>
    </row>
    <row r="2920" spans="11:15">
      <c r="K2920" s="1466">
        <v>44977</v>
      </c>
      <c r="L2920" s="1467"/>
      <c r="M2920" s="1468">
        <v>0</v>
      </c>
      <c r="N2920" s="1469">
        <v>1.9315273913480746</v>
      </c>
      <c r="O2920" s="1469"/>
    </row>
    <row r="2921" spans="11:15">
      <c r="K2921" s="1466">
        <v>44978</v>
      </c>
      <c r="L2921" s="1467"/>
      <c r="M2921" s="1468">
        <v>0</v>
      </c>
      <c r="N2921" s="1469">
        <v>1.9315273913480746</v>
      </c>
      <c r="O2921" s="1469"/>
    </row>
    <row r="2922" spans="11:15">
      <c r="K2922" s="1466">
        <v>44979</v>
      </c>
      <c r="L2922" s="1467" t="s">
        <v>2127</v>
      </c>
      <c r="M2922" s="1468">
        <v>5.0788E-2</v>
      </c>
      <c r="N2922" s="1469">
        <v>1.9325083754795924</v>
      </c>
      <c r="O2922" s="1469"/>
    </row>
    <row r="2923" spans="11:15">
      <c r="K2923" s="1466">
        <v>44980</v>
      </c>
      <c r="L2923" s="1467" t="s">
        <v>2127</v>
      </c>
      <c r="M2923" s="1468">
        <v>5.0788E-2</v>
      </c>
      <c r="N2923" s="1469">
        <v>1.933489857833331</v>
      </c>
      <c r="O2923" s="1469"/>
    </row>
    <row r="2924" spans="11:15">
      <c r="K2924" s="1466">
        <v>44981</v>
      </c>
      <c r="L2924" s="1467" t="s">
        <v>2127</v>
      </c>
      <c r="M2924" s="1468">
        <v>5.0788E-2</v>
      </c>
      <c r="N2924" s="1469">
        <v>1.9344718386623274</v>
      </c>
      <c r="O2924" s="1469"/>
    </row>
    <row r="2925" spans="11:15">
      <c r="K2925" s="1466">
        <v>44982</v>
      </c>
      <c r="L2925" s="1467"/>
      <c r="M2925" s="1468">
        <v>0</v>
      </c>
      <c r="N2925" s="1469">
        <v>1.9344718386623274</v>
      </c>
      <c r="O2925" s="1469"/>
    </row>
    <row r="2926" spans="11:15">
      <c r="K2926" s="1466">
        <v>44983</v>
      </c>
      <c r="L2926" s="1467"/>
      <c r="M2926" s="1468">
        <v>0</v>
      </c>
      <c r="N2926" s="1469">
        <v>1.9344718386623274</v>
      </c>
      <c r="O2926" s="1469"/>
    </row>
    <row r="2927" spans="11:15">
      <c r="K2927" s="1466">
        <v>44984</v>
      </c>
      <c r="L2927" s="1467" t="s">
        <v>2127</v>
      </c>
      <c r="M2927" s="1468">
        <v>5.0788E-2</v>
      </c>
      <c r="N2927" s="1469">
        <v>1.9354543182197472</v>
      </c>
      <c r="O2927" s="1469"/>
    </row>
    <row r="2928" spans="11:15">
      <c r="K2928" s="1466">
        <v>44985</v>
      </c>
      <c r="L2928" s="1467" t="s">
        <v>2127</v>
      </c>
      <c r="M2928" s="1468">
        <v>5.0788E-2</v>
      </c>
      <c r="N2928" s="1469">
        <v>1.9364372967588848</v>
      </c>
      <c r="O2928" s="1469"/>
    </row>
    <row r="2929" spans="11:15">
      <c r="K2929" s="1466">
        <v>44986</v>
      </c>
      <c r="L2929" s="1467" t="s">
        <v>2127</v>
      </c>
      <c r="M2929" s="1468">
        <v>5.0788E-2</v>
      </c>
      <c r="N2929" s="1469">
        <v>1.9374207745331626</v>
      </c>
      <c r="O2929" s="1469"/>
    </row>
    <row r="2930" spans="11:15">
      <c r="K2930" s="1466">
        <v>44987</v>
      </c>
      <c r="L2930" s="1470" t="s">
        <v>2127</v>
      </c>
      <c r="M2930" s="851">
        <v>5.0788E-2</v>
      </c>
      <c r="N2930" s="1470">
        <v>1.9384047517961325</v>
      </c>
      <c r="O2930" s="1470"/>
    </row>
    <row r="2931" spans="11:15">
      <c r="K2931" s="1466">
        <v>44988</v>
      </c>
      <c r="L2931" s="1470" t="s">
        <v>2127</v>
      </c>
      <c r="M2931" s="851">
        <v>5.0788E-2</v>
      </c>
      <c r="N2931" s="1470">
        <v>1.9393892288014747</v>
      </c>
      <c r="O2931" s="1470"/>
    </row>
    <row r="2932" spans="11:15">
      <c r="K2932" s="1466">
        <v>44989</v>
      </c>
      <c r="L2932" s="1470"/>
      <c r="M2932" s="851">
        <v>0</v>
      </c>
      <c r="N2932" s="1470">
        <v>1.9393892288014747</v>
      </c>
      <c r="O2932" s="1470"/>
    </row>
    <row r="2933" spans="11:15">
      <c r="K2933" s="1466">
        <v>44990</v>
      </c>
      <c r="L2933" s="1470"/>
      <c r="M2933" s="851">
        <v>0</v>
      </c>
      <c r="N2933" s="1470">
        <v>1.9393892288014747</v>
      </c>
      <c r="O2933" s="1470"/>
    </row>
    <row r="2934" spans="11:15">
      <c r="K2934" s="1466">
        <v>44991</v>
      </c>
      <c r="L2934" s="1470" t="s">
        <v>2127</v>
      </c>
      <c r="M2934" s="851">
        <v>5.0788E-2</v>
      </c>
      <c r="N2934" s="1470">
        <v>1.9403742058029985</v>
      </c>
      <c r="O2934" s="1470"/>
    </row>
    <row r="2935" spans="11:15">
      <c r="K2935" s="1466">
        <v>44992</v>
      </c>
      <c r="L2935" s="1470" t="s">
        <v>2127</v>
      </c>
      <c r="M2935" s="851">
        <v>5.0788E-2</v>
      </c>
      <c r="N2935" s="1470">
        <v>1.9413596830546418</v>
      </c>
      <c r="O2935" s="1470"/>
    </row>
    <row r="2936" spans="11:15">
      <c r="K2936" s="1466">
        <v>44993</v>
      </c>
      <c r="L2936" s="1470" t="s">
        <v>2127</v>
      </c>
      <c r="M2936" s="851">
        <v>5.0788E-2</v>
      </c>
      <c r="N2936" s="1470">
        <v>1.9423456608104717</v>
      </c>
      <c r="O2936" s="1470"/>
    </row>
    <row r="2937" spans="11:15">
      <c r="K2937" s="1466">
        <v>44994</v>
      </c>
      <c r="L2937" s="1470" t="s">
        <v>2127</v>
      </c>
      <c r="M2937" s="851">
        <v>5.0788E-2</v>
      </c>
      <c r="N2937" s="1470">
        <v>1.9433321393246841</v>
      </c>
      <c r="O2937" s="1470"/>
    </row>
    <row r="2938" spans="11:15">
      <c r="K2938" s="1466">
        <v>44995</v>
      </c>
      <c r="L2938" s="1470" t="s">
        <v>2127</v>
      </c>
      <c r="M2938" s="851">
        <v>5.0788E-2</v>
      </c>
      <c r="N2938" s="1470">
        <v>1.9443191188516042</v>
      </c>
      <c r="O2938" s="1470"/>
    </row>
    <row r="2939" spans="11:15">
      <c r="K2939" s="1466">
        <v>44996</v>
      </c>
      <c r="L2939" s="1470"/>
      <c r="M2939" s="851">
        <v>0</v>
      </c>
      <c r="N2939" s="1470">
        <v>1.9443191188516042</v>
      </c>
      <c r="O2939" s="1470"/>
    </row>
    <row r="2940" spans="11:15">
      <c r="K2940" s="1466">
        <v>44997</v>
      </c>
      <c r="L2940" s="1470"/>
      <c r="M2940" s="851">
        <v>0</v>
      </c>
      <c r="N2940" s="1470">
        <v>1.9443191188516042</v>
      </c>
      <c r="O2940" s="1470"/>
    </row>
    <row r="2941" spans="11:15">
      <c r="K2941" s="1466">
        <v>44998</v>
      </c>
      <c r="L2941" s="1470" t="s">
        <v>2127</v>
      </c>
      <c r="M2941" s="851">
        <v>5.0788E-2</v>
      </c>
      <c r="N2941" s="1470">
        <v>1.9453065996456866</v>
      </c>
      <c r="O2941" s="1470"/>
    </row>
    <row r="2942" spans="11:15">
      <c r="K2942" s="1466">
        <v>44999</v>
      </c>
      <c r="L2942" s="1470" t="s">
        <v>2127</v>
      </c>
      <c r="M2942" s="851">
        <v>5.0788E-2</v>
      </c>
      <c r="N2942" s="1470">
        <v>1.9462945819615147</v>
      </c>
      <c r="O2942" s="1470"/>
    </row>
    <row r="2943" spans="11:15">
      <c r="K2943" s="1466">
        <v>45000</v>
      </c>
      <c r="L2943" s="1470" t="s">
        <v>2127</v>
      </c>
      <c r="M2943" s="851">
        <v>5.0788E-2</v>
      </c>
      <c r="N2943" s="1470">
        <v>1.9472830660538014</v>
      </c>
      <c r="O2943" s="1470"/>
    </row>
    <row r="2944" spans="11:15">
      <c r="K2944" s="1466">
        <v>45001</v>
      </c>
      <c r="L2944" s="1470" t="s">
        <v>2127</v>
      </c>
      <c r="M2944" s="851">
        <v>5.0788E-2</v>
      </c>
      <c r="N2944" s="1470">
        <v>1.9482720521773889</v>
      </c>
      <c r="O2944" s="1470"/>
    </row>
    <row r="2945" spans="11:15">
      <c r="K2945" s="1466">
        <v>45002</v>
      </c>
      <c r="L2945" s="1470" t="s">
        <v>2127</v>
      </c>
      <c r="M2945" s="851">
        <v>5.0788E-2</v>
      </c>
      <c r="N2945" s="1470">
        <v>1.9492615405872487</v>
      </c>
      <c r="O2945" s="1470"/>
    </row>
    <row r="2946" spans="11:15">
      <c r="K2946" s="1466">
        <v>45003</v>
      </c>
      <c r="L2946" s="1470"/>
      <c r="M2946" s="851">
        <v>0</v>
      </c>
      <c r="N2946" s="1470">
        <v>1.9492615405872487</v>
      </c>
      <c r="O2946" s="1470"/>
    </row>
    <row r="2947" spans="11:15">
      <c r="K2947" s="1466">
        <v>45004</v>
      </c>
      <c r="L2947" s="1470"/>
      <c r="M2947" s="851">
        <v>0</v>
      </c>
      <c r="N2947" s="1470">
        <v>1.9492615405872487</v>
      </c>
      <c r="O2947" s="1470"/>
    </row>
    <row r="2948" spans="11:15">
      <c r="K2948" s="1466">
        <v>45005</v>
      </c>
      <c r="L2948" s="1470" t="s">
        <v>2127</v>
      </c>
      <c r="M2948" s="851">
        <v>5.0788E-2</v>
      </c>
      <c r="N2948" s="1470">
        <v>1.9502515315384821</v>
      </c>
      <c r="O2948" s="1470"/>
    </row>
    <row r="2949" spans="11:15">
      <c r="K2949" s="1466">
        <v>45006</v>
      </c>
      <c r="L2949" s="1470" t="s">
        <v>2127</v>
      </c>
      <c r="M2949" s="851">
        <v>5.0788E-2</v>
      </c>
      <c r="N2949" s="1470">
        <v>1.9512420252863198</v>
      </c>
      <c r="O2949" s="1470"/>
    </row>
    <row r="2950" spans="11:15">
      <c r="K2950" s="1466">
        <v>45007</v>
      </c>
      <c r="L2950" s="1470" t="s">
        <v>2127</v>
      </c>
      <c r="M2950" s="851">
        <v>5.0788E-2</v>
      </c>
      <c r="N2950" s="1470">
        <v>1.9522330220861224</v>
      </c>
      <c r="O2950" s="1470"/>
    </row>
    <row r="2951" spans="11:15">
      <c r="K2951" s="1466">
        <v>45008</v>
      </c>
      <c r="L2951" s="1470" t="s">
        <v>2127</v>
      </c>
      <c r="M2951" s="851">
        <v>5.0788E-2</v>
      </c>
      <c r="N2951" s="1470">
        <v>1.9532245221933795</v>
      </c>
      <c r="O2951" s="1470"/>
    </row>
    <row r="2952" spans="11:15">
      <c r="K2952" s="1466">
        <v>45009</v>
      </c>
      <c r="L2952" s="1470" t="s">
        <v>2127</v>
      </c>
      <c r="M2952" s="851">
        <v>5.0788E-2</v>
      </c>
      <c r="N2952" s="1470">
        <v>1.9542165258637112</v>
      </c>
      <c r="O2952" s="1470"/>
    </row>
    <row r="2953" spans="11:15">
      <c r="K2953" s="1466">
        <v>45010</v>
      </c>
      <c r="L2953" s="1470"/>
      <c r="M2953" s="851">
        <v>0</v>
      </c>
      <c r="N2953" s="1470">
        <v>1.9542165258637112</v>
      </c>
      <c r="O2953" s="1470"/>
    </row>
    <row r="2954" spans="11:15">
      <c r="K2954" s="1466">
        <v>45011</v>
      </c>
      <c r="L2954" s="1470"/>
      <c r="M2954" s="851">
        <v>0</v>
      </c>
      <c r="N2954" s="1470">
        <v>1.9542165258637112</v>
      </c>
      <c r="O2954" s="1470"/>
    </row>
    <row r="2955" spans="11:15">
      <c r="K2955" s="1466">
        <v>45012</v>
      </c>
      <c r="L2955" s="1470" t="s">
        <v>2127</v>
      </c>
      <c r="M2955" s="851">
        <v>5.0788E-2</v>
      </c>
      <c r="N2955" s="1470">
        <v>1.9552090333528669</v>
      </c>
      <c r="O2955" s="1470"/>
    </row>
    <row r="2956" spans="11:15">
      <c r="K2956" s="1466">
        <v>45013</v>
      </c>
      <c r="L2956" s="1470" t="s">
        <v>2127</v>
      </c>
      <c r="M2956" s="851">
        <v>5.0788E-2</v>
      </c>
      <c r="N2956" s="1470">
        <v>1.9562020449167261</v>
      </c>
      <c r="O2956" s="1470"/>
    </row>
    <row r="2957" spans="11:15">
      <c r="K2957" s="1466">
        <v>45014</v>
      </c>
      <c r="L2957" s="1470" t="s">
        <v>2127</v>
      </c>
      <c r="M2957" s="851">
        <v>5.0788E-2</v>
      </c>
      <c r="N2957" s="1470">
        <v>1.9571955608112985</v>
      </c>
      <c r="O2957" s="1470"/>
    </row>
    <row r="2958" spans="11:15">
      <c r="K2958" s="1466">
        <v>45015</v>
      </c>
      <c r="L2958" s="1470" t="s">
        <v>2127</v>
      </c>
      <c r="M2958" s="851">
        <v>5.0788E-2</v>
      </c>
      <c r="N2958" s="1470">
        <v>1.9581895812927235</v>
      </c>
      <c r="O2958" s="1470"/>
    </row>
    <row r="2959" spans="11:15">
      <c r="K2959" s="1466">
        <v>45016</v>
      </c>
      <c r="L2959" s="1470" t="s">
        <v>2127</v>
      </c>
      <c r="M2959" s="851">
        <v>5.0788E-2</v>
      </c>
      <c r="N2959" s="1470">
        <v>1.9591841066172704</v>
      </c>
      <c r="O2959" s="1470"/>
    </row>
    <row r="2960" spans="11:15">
      <c r="K2960" s="1466">
        <v>45017</v>
      </c>
      <c r="L2960" s="1470"/>
      <c r="M2960" s="851">
        <v>0</v>
      </c>
      <c r="N2960" s="1470">
        <v>1.9591841066172704</v>
      </c>
      <c r="O2960" s="1470"/>
    </row>
    <row r="2961" spans="11:15">
      <c r="K2961" s="1466">
        <v>45018</v>
      </c>
      <c r="L2961" s="1470"/>
      <c r="M2961" s="851">
        <v>0</v>
      </c>
      <c r="N2961" s="1470">
        <v>1.9591841066172704</v>
      </c>
      <c r="O2961" s="1470"/>
    </row>
    <row r="2962" spans="11:15">
      <c r="K2962" s="1466">
        <v>45019</v>
      </c>
      <c r="L2962" s="1470" t="s">
        <v>2127</v>
      </c>
      <c r="M2962" s="851">
        <v>5.0788E-2</v>
      </c>
      <c r="N2962" s="1470">
        <v>1.9601791370413393</v>
      </c>
      <c r="O2962" s="1470"/>
    </row>
    <row r="2963" spans="11:15">
      <c r="K2963" s="1466">
        <v>45020</v>
      </c>
      <c r="L2963" s="1470" t="s">
        <v>2127</v>
      </c>
      <c r="M2963" s="851">
        <v>5.0788E-2</v>
      </c>
      <c r="N2963" s="1470">
        <v>1.9611746728214599</v>
      </c>
      <c r="O2963" s="1470"/>
    </row>
    <row r="2964" spans="11:15">
      <c r="K2964" s="1466">
        <v>45021</v>
      </c>
      <c r="L2964" s="1470" t="s">
        <v>2127</v>
      </c>
      <c r="M2964" s="851">
        <v>5.0788E-2</v>
      </c>
      <c r="N2964" s="1470">
        <v>1.9621707142142923</v>
      </c>
      <c r="O2964" s="1470"/>
    </row>
    <row r="2965" spans="11:15">
      <c r="K2965" s="1466">
        <v>45022</v>
      </c>
      <c r="L2965" s="1470" t="s">
        <v>2127</v>
      </c>
      <c r="M2965" s="851">
        <v>5.0788E-2</v>
      </c>
      <c r="N2965" s="1470">
        <v>1.9631672614766276</v>
      </c>
      <c r="O2965" s="1470"/>
    </row>
    <row r="2966" spans="11:15">
      <c r="K2966" s="1466">
        <v>45023</v>
      </c>
      <c r="L2966" s="1470"/>
      <c r="M2966" s="851">
        <v>0</v>
      </c>
      <c r="N2966" s="1470">
        <v>1.9631672614766276</v>
      </c>
      <c r="O2966" s="1470"/>
    </row>
    <row r="2967" spans="11:15">
      <c r="K2967" s="1466">
        <v>45024</v>
      </c>
      <c r="L2967" s="1470"/>
      <c r="M2967" s="851">
        <v>0</v>
      </c>
      <c r="N2967" s="1470">
        <v>1.9631672614766276</v>
      </c>
      <c r="O2967" s="1470"/>
    </row>
    <row r="2968" spans="11:15">
      <c r="K2968" s="1466">
        <v>45025</v>
      </c>
      <c r="L2968" s="1470"/>
      <c r="M2968" s="851">
        <v>0</v>
      </c>
      <c r="N2968" s="1470">
        <v>1.9631672614766276</v>
      </c>
      <c r="O2968" s="1470"/>
    </row>
    <row r="2969" spans="11:15">
      <c r="K2969" s="1466">
        <v>45026</v>
      </c>
      <c r="L2969" s="1470" t="s">
        <v>2127</v>
      </c>
      <c r="M2969" s="851">
        <v>5.0788E-2</v>
      </c>
      <c r="N2969" s="1470">
        <v>1.9641643148653865</v>
      </c>
      <c r="O2969" s="1470"/>
    </row>
    <row r="2970" spans="11:15">
      <c r="K2970" s="1466">
        <v>45027</v>
      </c>
      <c r="L2970" s="1470" t="s">
        <v>2127</v>
      </c>
      <c r="M2970" s="851">
        <v>5.0788E-2</v>
      </c>
      <c r="N2970" s="1470">
        <v>1.9651618746376203</v>
      </c>
      <c r="O2970" s="1470"/>
    </row>
    <row r="2971" spans="11:15">
      <c r="K2971" s="1466">
        <v>45028</v>
      </c>
      <c r="L2971" s="1470" t="s">
        <v>2127</v>
      </c>
      <c r="M2971" s="851">
        <v>5.0788E-2</v>
      </c>
      <c r="N2971" s="1470">
        <v>1.9661599410505113</v>
      </c>
      <c r="O2971" s="1470"/>
    </row>
    <row r="2972" spans="11:15">
      <c r="K2972" s="1466">
        <v>45029</v>
      </c>
      <c r="L2972" s="1470" t="s">
        <v>2127</v>
      </c>
      <c r="M2972" s="851">
        <v>5.0788E-2</v>
      </c>
      <c r="N2972" s="1470">
        <v>1.9671585143613721</v>
      </c>
      <c r="O2972" s="1470"/>
    </row>
    <row r="2973" spans="11:15">
      <c r="K2973" s="1466">
        <v>45030</v>
      </c>
      <c r="L2973" s="1470" t="s">
        <v>2127</v>
      </c>
      <c r="M2973" s="851">
        <v>5.0788E-2</v>
      </c>
      <c r="N2973" s="1470">
        <v>1.968157594827646</v>
      </c>
      <c r="O2973" s="1470"/>
    </row>
    <row r="2974" spans="11:15">
      <c r="K2974" s="1466">
        <v>45031</v>
      </c>
      <c r="L2974" s="1470"/>
      <c r="M2974" s="851">
        <v>0</v>
      </c>
      <c r="N2974" s="1470">
        <v>1.968157594827646</v>
      </c>
      <c r="O2974" s="1470"/>
    </row>
    <row r="2975" spans="11:15">
      <c r="K2975" s="1466">
        <v>45032</v>
      </c>
      <c r="L2975" s="1470"/>
      <c r="M2975" s="851">
        <v>0</v>
      </c>
      <c r="N2975" s="1470">
        <v>1.968157594827646</v>
      </c>
      <c r="O2975" s="1470"/>
    </row>
    <row r="2976" spans="11:15">
      <c r="K2976" s="1466">
        <v>45033</v>
      </c>
      <c r="L2976" s="1470" t="s">
        <v>2127</v>
      </c>
      <c r="M2976" s="851">
        <v>5.0788E-2</v>
      </c>
      <c r="N2976" s="1470">
        <v>1.969157182706907</v>
      </c>
      <c r="O2976" s="1470"/>
    </row>
    <row r="2977" spans="11:15">
      <c r="K2977" s="1466">
        <v>45034</v>
      </c>
      <c r="L2977" s="1470" t="s">
        <v>2127</v>
      </c>
      <c r="M2977" s="851">
        <v>5.0788E-2</v>
      </c>
      <c r="N2977" s="1470">
        <v>1.9701572782568602</v>
      </c>
      <c r="O2977" s="1470"/>
    </row>
    <row r="2978" spans="11:15">
      <c r="K2978" s="1466">
        <v>45035</v>
      </c>
      <c r="L2978" s="1470" t="s">
        <v>2127</v>
      </c>
      <c r="M2978" s="851">
        <v>5.0788E-2</v>
      </c>
      <c r="N2978" s="1470">
        <v>1.9711578817353412</v>
      </c>
      <c r="O2978" s="1470"/>
    </row>
    <row r="2979" spans="11:15">
      <c r="K2979" s="1466">
        <v>45036</v>
      </c>
      <c r="L2979" s="1470" t="s">
        <v>2127</v>
      </c>
      <c r="M2979" s="851">
        <v>5.0788E-2</v>
      </c>
      <c r="N2979" s="1470">
        <v>1.972158993400317</v>
      </c>
      <c r="O2979" s="1470"/>
    </row>
    <row r="2980" spans="11:15">
      <c r="K2980" s="1466">
        <v>45037</v>
      </c>
      <c r="L2980" s="1470"/>
      <c r="M2980" s="851">
        <v>0</v>
      </c>
      <c r="N2980" s="1470">
        <v>1.972158993400317</v>
      </c>
      <c r="O2980" s="1470"/>
    </row>
    <row r="2981" spans="11:15">
      <c r="K2981" s="1466">
        <v>45038</v>
      </c>
      <c r="L2981" s="1470"/>
      <c r="M2981" s="851">
        <v>0</v>
      </c>
      <c r="N2981" s="1470">
        <v>1.972158993400317</v>
      </c>
      <c r="O2981" s="1470"/>
    </row>
    <row r="2982" spans="11:15">
      <c r="K2982" s="1466">
        <v>45039</v>
      </c>
      <c r="L2982" s="1470"/>
      <c r="M2982" s="851">
        <v>0</v>
      </c>
      <c r="N2982" s="1470">
        <v>1.972158993400317</v>
      </c>
      <c r="O2982" s="1470"/>
    </row>
    <row r="2983" spans="11:15">
      <c r="K2983" s="1466">
        <v>45040</v>
      </c>
      <c r="L2983" s="1470" t="s">
        <v>2127</v>
      </c>
      <c r="M2983" s="851">
        <v>5.0788E-2</v>
      </c>
      <c r="N2983" s="1470">
        <v>1.9731606135098851</v>
      </c>
      <c r="O2983" s="1470"/>
    </row>
    <row r="2984" spans="11:15">
      <c r="K2984" s="1466">
        <v>45041</v>
      </c>
      <c r="L2984" s="1470" t="s">
        <v>2127</v>
      </c>
      <c r="M2984" s="851">
        <v>5.0788E-2</v>
      </c>
      <c r="N2984" s="1470">
        <v>1.9741627423222745</v>
      </c>
      <c r="O2984" s="1470"/>
    </row>
    <row r="2985" spans="11:15">
      <c r="K2985" s="1466">
        <v>45042</v>
      </c>
      <c r="L2985" s="1470" t="s">
        <v>2127</v>
      </c>
      <c r="M2985" s="851">
        <v>5.0788E-2</v>
      </c>
      <c r="N2985" s="1470">
        <v>1.9751653800958451</v>
      </c>
      <c r="O2985" s="1470"/>
    </row>
    <row r="2986" spans="11:15">
      <c r="K2986" s="1466">
        <v>45043</v>
      </c>
      <c r="L2986" s="1470" t="s">
        <v>2127</v>
      </c>
      <c r="M2986" s="851">
        <v>5.0788E-2</v>
      </c>
      <c r="N2986" s="1470">
        <v>1.9761685270890883</v>
      </c>
      <c r="O2986" s="1470"/>
    </row>
    <row r="2987" spans="11:15">
      <c r="K2987" s="1466">
        <v>45044</v>
      </c>
      <c r="L2987" s="1470" t="s">
        <v>2127</v>
      </c>
      <c r="M2987" s="851">
        <v>5.0788E-2</v>
      </c>
      <c r="N2987" s="1470">
        <v>1.9771721835606264</v>
      </c>
      <c r="O2987" s="1470"/>
    </row>
    <row r="2988" spans="11:15">
      <c r="K2988" s="1466">
        <v>45045</v>
      </c>
      <c r="L2988" s="1470"/>
      <c r="M2988" s="851">
        <v>0</v>
      </c>
      <c r="N2988" s="1470">
        <v>1.9771721835606264</v>
      </c>
      <c r="O2988" s="1470"/>
    </row>
    <row r="2989" spans="11:15">
      <c r="K2989" s="1466">
        <v>45046</v>
      </c>
      <c r="L2989" s="1470"/>
      <c r="M2989" s="851">
        <v>0</v>
      </c>
      <c r="N2989" s="1470">
        <v>1.9771721835606264</v>
      </c>
      <c r="O2989" s="1470"/>
    </row>
    <row r="2990" spans="11:15">
      <c r="K2990" s="1466">
        <v>45047</v>
      </c>
      <c r="L2990" s="1470"/>
      <c r="M2990" s="851">
        <v>0</v>
      </c>
      <c r="N2990" s="1470">
        <v>1.9771721835606264</v>
      </c>
      <c r="O2990" s="1470"/>
    </row>
    <row r="2991" spans="11:15">
      <c r="K2991" s="1466">
        <v>45048</v>
      </c>
      <c r="L2991" s="1470" t="s">
        <v>2127</v>
      </c>
      <c r="M2991" s="851">
        <v>5.0788E-2</v>
      </c>
      <c r="N2991" s="1470">
        <v>1.9781763497692133</v>
      </c>
      <c r="O2991" s="1470"/>
    </row>
    <row r="2992" spans="11:15">
      <c r="K2992" s="1466">
        <v>45049</v>
      </c>
      <c r="L2992" s="1470" t="s">
        <v>2127</v>
      </c>
      <c r="M2992" s="851">
        <v>5.0788E-2</v>
      </c>
      <c r="N2992" s="1470">
        <v>1.9791810259737341</v>
      </c>
      <c r="O2992" s="1470"/>
    </row>
    <row r="2993" spans="11:15">
      <c r="K2993" s="1466">
        <v>45050</v>
      </c>
      <c r="L2993" s="1470" t="s">
        <v>2127</v>
      </c>
      <c r="M2993" s="851">
        <v>5.0788E-2</v>
      </c>
      <c r="N2993" s="1470">
        <v>1.9801862124332057</v>
      </c>
      <c r="O2993" s="1470"/>
    </row>
    <row r="2994" spans="11:15">
      <c r="K2994" s="1466">
        <v>45051</v>
      </c>
      <c r="L2994" s="1470" t="s">
        <v>2127</v>
      </c>
      <c r="M2994" s="851">
        <v>5.0788E-2</v>
      </c>
      <c r="N2994" s="1470">
        <v>1.9811919094067763</v>
      </c>
      <c r="O2994" s="1470"/>
    </row>
    <row r="2995" spans="11:15">
      <c r="K2995" s="1466">
        <v>45052</v>
      </c>
      <c r="L2995" s="1470"/>
      <c r="M2995" s="851">
        <v>0</v>
      </c>
      <c r="N2995" s="1470">
        <v>1.9811919094067763</v>
      </c>
      <c r="O2995" s="1470"/>
    </row>
    <row r="2996" spans="11:15">
      <c r="K2996" s="1466">
        <v>45053</v>
      </c>
      <c r="L2996" s="1470"/>
      <c r="M2996" s="851">
        <v>0</v>
      </c>
      <c r="N2996" s="1470">
        <v>1.9811919094067763</v>
      </c>
      <c r="O2996" s="1470"/>
    </row>
    <row r="2997" spans="11:15">
      <c r="K2997" s="1466">
        <v>45054</v>
      </c>
      <c r="L2997" s="1470" t="s">
        <v>2127</v>
      </c>
      <c r="M2997" s="851">
        <v>5.0788E-2</v>
      </c>
      <c r="N2997" s="1470">
        <v>1.9821981171537257</v>
      </c>
      <c r="O2997" s="1470"/>
    </row>
    <row r="2998" spans="11:15">
      <c r="K2998" s="1466">
        <v>45055</v>
      </c>
      <c r="L2998" s="1470" t="s">
        <v>2127</v>
      </c>
      <c r="M2998" s="851">
        <v>5.0788E-2</v>
      </c>
      <c r="N2998" s="1470">
        <v>1.9832048359334657</v>
      </c>
      <c r="O2998" s="1470"/>
    </row>
    <row r="2999" spans="11:15">
      <c r="K2999" s="1466">
        <v>45056</v>
      </c>
      <c r="L2999" s="1470" t="s">
        <v>2127</v>
      </c>
      <c r="M2999" s="851">
        <v>5.0788E-2</v>
      </c>
      <c r="N2999" s="1470">
        <v>1.9842120660055396</v>
      </c>
      <c r="O2999" s="1470"/>
    </row>
    <row r="3000" spans="11:15">
      <c r="K3000" s="1466">
        <v>45057</v>
      </c>
      <c r="L3000" s="1470" t="s">
        <v>2127</v>
      </c>
      <c r="M3000" s="851">
        <v>5.0788E-2</v>
      </c>
      <c r="N3000" s="1470">
        <v>1.9852198076296226</v>
      </c>
      <c r="O3000" s="1470"/>
    </row>
    <row r="3001" spans="11:15">
      <c r="K3001" s="1466">
        <v>45058</v>
      </c>
      <c r="L3001" s="1470" t="s">
        <v>2127</v>
      </c>
      <c r="M3001" s="851">
        <v>5.0788E-2</v>
      </c>
      <c r="N3001" s="1470">
        <v>1.9862280610655216</v>
      </c>
      <c r="O3001" s="1470"/>
    </row>
    <row r="3002" spans="11:15">
      <c r="K3002" s="1466">
        <v>45059</v>
      </c>
      <c r="L3002" s="1470"/>
      <c r="M3002" s="851">
        <v>0</v>
      </c>
      <c r="N3002" s="1470">
        <v>1.9862280610655216</v>
      </c>
      <c r="O3002" s="1470"/>
    </row>
    <row r="3003" spans="11:15">
      <c r="K3003" s="1466">
        <v>45060</v>
      </c>
      <c r="L3003" s="1470"/>
      <c r="M3003" s="851">
        <v>0</v>
      </c>
      <c r="N3003" s="1470">
        <v>1.9862280610655216</v>
      </c>
      <c r="O3003" s="1470"/>
    </row>
    <row r="3004" spans="11:15">
      <c r="K3004" s="1466">
        <v>45061</v>
      </c>
      <c r="L3004" s="1470" t="s">
        <v>2127</v>
      </c>
      <c r="M3004" s="851">
        <v>5.0788E-2</v>
      </c>
      <c r="N3004" s="1470">
        <v>1.9872368265731757</v>
      </c>
      <c r="O3004" s="1470"/>
    </row>
    <row r="3005" spans="11:15">
      <c r="K3005" s="1466">
        <v>45062</v>
      </c>
      <c r="L3005" s="1470" t="s">
        <v>2127</v>
      </c>
      <c r="M3005" s="851">
        <v>5.0788E-2</v>
      </c>
      <c r="N3005" s="1470">
        <v>1.9882461044126558</v>
      </c>
      <c r="O3005" s="1470"/>
    </row>
    <row r="3006" spans="11:15">
      <c r="K3006" s="1466">
        <v>45063</v>
      </c>
      <c r="L3006" s="1470" t="s">
        <v>2127</v>
      </c>
      <c r="M3006" s="851">
        <v>5.0788E-2</v>
      </c>
      <c r="N3006" s="1470">
        <v>1.989255894844165</v>
      </c>
      <c r="O3006" s="1470"/>
    </row>
    <row r="3007" spans="11:15">
      <c r="K3007" s="1466">
        <v>45064</v>
      </c>
      <c r="L3007" s="1470" t="s">
        <v>2127</v>
      </c>
      <c r="M3007" s="851">
        <v>5.0788E-2</v>
      </c>
      <c r="N3007" s="1470">
        <v>1.9902661981280385</v>
      </c>
      <c r="O3007" s="1470"/>
    </row>
    <row r="3008" spans="11:15">
      <c r="K3008" s="1466">
        <v>45065</v>
      </c>
      <c r="L3008" s="1470" t="s">
        <v>2127</v>
      </c>
      <c r="M3008" s="851">
        <v>5.0788E-2</v>
      </c>
      <c r="N3008" s="1470">
        <v>1.9912770145247438</v>
      </c>
      <c r="O3008" s="1470"/>
    </row>
    <row r="3009" spans="11:15">
      <c r="K3009" s="1466">
        <v>45066</v>
      </c>
      <c r="L3009" s="1470"/>
      <c r="M3009" s="851">
        <v>0</v>
      </c>
      <c r="N3009" s="1470">
        <v>1.9912770145247438</v>
      </c>
      <c r="O3009" s="1470"/>
    </row>
    <row r="3010" spans="11:15">
      <c r="K3010" s="1466">
        <v>45067</v>
      </c>
      <c r="L3010" s="1470"/>
      <c r="M3010" s="851">
        <v>0</v>
      </c>
      <c r="N3010" s="1470">
        <v>1.9912770145247438</v>
      </c>
      <c r="O3010" s="1470"/>
    </row>
    <row r="3011" spans="11:15">
      <c r="K3011" s="1466">
        <v>45068</v>
      </c>
      <c r="L3011" s="1470" t="s">
        <v>2127</v>
      </c>
      <c r="M3011" s="851">
        <v>5.0788E-2</v>
      </c>
      <c r="N3011" s="1470">
        <v>1.9922883442948807</v>
      </c>
      <c r="O3011" s="1470"/>
    </row>
    <row r="3012" spans="11:15">
      <c r="K3012" s="1466">
        <v>45069</v>
      </c>
      <c r="L3012" s="1470" t="s">
        <v>2127</v>
      </c>
      <c r="M3012" s="851">
        <v>5.0788E-2</v>
      </c>
      <c r="N3012" s="1470">
        <v>1.9933001876991812</v>
      </c>
      <c r="O3012" s="1470"/>
    </row>
    <row r="3013" spans="11:15">
      <c r="K3013" s="1466">
        <v>45070</v>
      </c>
      <c r="L3013" s="1470" t="s">
        <v>2127</v>
      </c>
      <c r="M3013" s="851">
        <v>5.0788E-2</v>
      </c>
      <c r="N3013" s="1470">
        <v>1.9943125449985097</v>
      </c>
      <c r="O3013" s="1470"/>
    </row>
    <row r="3014" spans="11:15">
      <c r="K3014" s="1466">
        <v>45071</v>
      </c>
      <c r="L3014" s="1470" t="s">
        <v>2127</v>
      </c>
      <c r="M3014" s="851">
        <v>5.0788E-2</v>
      </c>
      <c r="N3014" s="1470">
        <v>1.9953254164538636</v>
      </c>
      <c r="O3014" s="1470"/>
    </row>
    <row r="3015" spans="11:15">
      <c r="K3015" s="1466">
        <v>45072</v>
      </c>
      <c r="L3015" s="1470" t="s">
        <v>2127</v>
      </c>
      <c r="M3015" s="851">
        <v>5.0788E-2</v>
      </c>
      <c r="N3015" s="1470">
        <v>1.9963388023263722</v>
      </c>
      <c r="O3015" s="1470"/>
    </row>
    <row r="3016" spans="11:15">
      <c r="K3016" s="1466">
        <v>45073</v>
      </c>
      <c r="L3016" s="1470"/>
      <c r="M3016" s="851">
        <v>0</v>
      </c>
      <c r="N3016" s="1470">
        <v>1.9963388023263722</v>
      </c>
      <c r="O3016" s="1470"/>
    </row>
    <row r="3017" spans="11:15">
      <c r="K3017" s="1466">
        <v>45074</v>
      </c>
      <c r="L3017" s="1470"/>
      <c r="M3017" s="851">
        <v>0</v>
      </c>
      <c r="N3017" s="1470">
        <v>1.9963388023263722</v>
      </c>
      <c r="O3017" s="1470"/>
    </row>
    <row r="3018" spans="11:15">
      <c r="K3018" s="1466">
        <v>45075</v>
      </c>
      <c r="L3018" s="1470" t="s">
        <v>2127</v>
      </c>
      <c r="M3018" s="851">
        <v>5.0788E-2</v>
      </c>
      <c r="N3018" s="1470">
        <v>1.9973527028772977</v>
      </c>
      <c r="O3018" s="1470"/>
    </row>
    <row r="3019" spans="11:15">
      <c r="K3019" s="1466">
        <v>45076</v>
      </c>
      <c r="L3019" s="1470" t="s">
        <v>2127</v>
      </c>
      <c r="M3019" s="851">
        <v>5.0788E-2</v>
      </c>
      <c r="N3019" s="1470">
        <v>1.9983671183680352</v>
      </c>
      <c r="O3019" s="1470"/>
    </row>
    <row r="3020" spans="11:15">
      <c r="K3020" s="1466">
        <v>45077</v>
      </c>
      <c r="L3020" s="1470" t="s">
        <v>2127</v>
      </c>
      <c r="M3020" s="851">
        <v>5.0788E-2</v>
      </c>
      <c r="N3020" s="1470">
        <v>1.999382049060112</v>
      </c>
      <c r="O3020" s="1470"/>
    </row>
    <row r="3021" spans="11:15">
      <c r="K3021" s="1466">
        <v>45078</v>
      </c>
      <c r="L3021" s="1470" t="s">
        <v>2127</v>
      </c>
      <c r="M3021" s="851">
        <v>5.0788E-2</v>
      </c>
      <c r="N3021" s="1470">
        <v>2.0003974952151888</v>
      </c>
      <c r="O3021" s="1470"/>
    </row>
    <row r="3022" spans="11:15">
      <c r="K3022" s="1466">
        <v>45079</v>
      </c>
      <c r="L3022" s="1470" t="s">
        <v>2127</v>
      </c>
      <c r="M3022" s="851">
        <v>5.0788E-2</v>
      </c>
      <c r="N3022" s="1470">
        <v>2.0014134570950586</v>
      </c>
      <c r="O3022" s="1470"/>
    </row>
    <row r="3023" spans="11:15">
      <c r="K3023" s="1466">
        <v>45080</v>
      </c>
      <c r="L3023" s="1470"/>
      <c r="M3023" s="851">
        <v>0</v>
      </c>
      <c r="N3023" s="1470">
        <v>2.0014134570950586</v>
      </c>
      <c r="O3023" s="1470"/>
    </row>
    <row r="3024" spans="11:15">
      <c r="K3024" s="1466">
        <v>45081</v>
      </c>
      <c r="L3024" s="1470"/>
      <c r="M3024" s="851">
        <v>0</v>
      </c>
      <c r="N3024" s="1470">
        <v>2.0014134570950586</v>
      </c>
      <c r="O3024" s="1470"/>
    </row>
    <row r="3025" spans="11:15">
      <c r="K3025" s="1466">
        <v>45082</v>
      </c>
      <c r="L3025" s="1470" t="s">
        <v>2127</v>
      </c>
      <c r="M3025" s="851">
        <v>5.0788E-2</v>
      </c>
      <c r="N3025" s="1470">
        <v>2.0024299349616479</v>
      </c>
      <c r="O3025" s="1470"/>
    </row>
    <row r="3026" spans="11:15">
      <c r="K3026" s="1466">
        <v>45083</v>
      </c>
      <c r="L3026" s="1470" t="s">
        <v>2127</v>
      </c>
      <c r="M3026" s="851">
        <v>5.0788E-2</v>
      </c>
      <c r="N3026" s="1470">
        <v>2.003446929077016</v>
      </c>
      <c r="O3026" s="1470"/>
    </row>
    <row r="3027" spans="11:15">
      <c r="K3027" s="1466">
        <v>45084</v>
      </c>
      <c r="L3027" s="1470" t="s">
        <v>2127</v>
      </c>
      <c r="M3027" s="851">
        <v>5.0788E-2</v>
      </c>
      <c r="N3027" s="1470">
        <v>2.0044644397033555</v>
      </c>
      <c r="O3027" s="1470"/>
    </row>
    <row r="3028" spans="11:15">
      <c r="K3028" s="1466">
        <v>45085</v>
      </c>
      <c r="L3028" s="1470"/>
      <c r="M3028" s="851">
        <v>0</v>
      </c>
      <c r="N3028" s="1470">
        <v>2.0044644397033555</v>
      </c>
      <c r="O3028" s="1470"/>
    </row>
    <row r="3029" spans="11:15">
      <c r="K3029" s="1466">
        <v>45086</v>
      </c>
      <c r="L3029" s="1470" t="s">
        <v>2127</v>
      </c>
      <c r="M3029" s="851">
        <v>5.0788E-2</v>
      </c>
      <c r="N3029" s="1470">
        <v>2.0054824671029921</v>
      </c>
      <c r="O3029" s="1470"/>
    </row>
    <row r="3030" spans="11:15">
      <c r="K3030" s="1466">
        <v>45087</v>
      </c>
      <c r="L3030" s="1470"/>
      <c r="M3030" s="851">
        <v>0</v>
      </c>
      <c r="N3030" s="1470">
        <v>2.0054824671029921</v>
      </c>
      <c r="O3030" s="1470"/>
    </row>
    <row r="3031" spans="11:15">
      <c r="K3031" s="1466">
        <v>45088</v>
      </c>
      <c r="L3031" s="1470"/>
      <c r="M3031" s="851">
        <v>0</v>
      </c>
      <c r="N3031" s="1470">
        <v>2.0054824671029921</v>
      </c>
      <c r="O3031" s="1470"/>
    </row>
    <row r="3032" spans="11:15">
      <c r="K3032" s="1466">
        <v>45089</v>
      </c>
      <c r="L3032" s="1470" t="s">
        <v>2127</v>
      </c>
      <c r="M3032" s="851">
        <v>5.0788E-2</v>
      </c>
      <c r="N3032" s="1470">
        <v>2.0065010115383846</v>
      </c>
      <c r="O3032" s="1470"/>
    </row>
    <row r="3033" spans="11:15">
      <c r="K3033" s="1466">
        <v>45090</v>
      </c>
      <c r="L3033" s="1470" t="s">
        <v>2127</v>
      </c>
      <c r="M3033" s="851">
        <v>5.0788E-2</v>
      </c>
      <c r="N3033" s="1470">
        <v>2.0075200732721248</v>
      </c>
      <c r="O3033" s="1470"/>
    </row>
    <row r="3034" spans="11:15">
      <c r="K3034" s="1466">
        <v>45091</v>
      </c>
      <c r="L3034" s="1470" t="s">
        <v>2127</v>
      </c>
      <c r="M3034" s="851">
        <v>5.0788E-2</v>
      </c>
      <c r="N3034" s="1470">
        <v>2.0085396525669381</v>
      </c>
      <c r="O3034" s="1470"/>
    </row>
    <row r="3035" spans="11:15">
      <c r="K3035" s="1466">
        <v>45092</v>
      </c>
      <c r="L3035" s="1470" t="s">
        <v>2127</v>
      </c>
      <c r="M3035" s="851">
        <v>5.0788E-2</v>
      </c>
      <c r="N3035" s="1470">
        <v>2.0095597496856836</v>
      </c>
      <c r="O3035" s="1470"/>
    </row>
    <row r="3036" spans="11:15">
      <c r="K3036" s="1466">
        <v>45093</v>
      </c>
      <c r="L3036" s="1470" t="s">
        <v>2127</v>
      </c>
      <c r="M3036" s="851">
        <v>5.0788E-2</v>
      </c>
      <c r="N3036" s="1470">
        <v>2.0105803648913541</v>
      </c>
      <c r="O3036" s="1470"/>
    </row>
    <row r="3037" spans="11:15">
      <c r="K3037" s="1466">
        <v>45094</v>
      </c>
      <c r="L3037" s="1470"/>
      <c r="M3037" s="851">
        <v>0</v>
      </c>
      <c r="N3037" s="1470">
        <v>2.0105803648913541</v>
      </c>
      <c r="O3037" s="1470"/>
    </row>
    <row r="3038" spans="11:15">
      <c r="K3038" s="1466">
        <v>45095</v>
      </c>
      <c r="L3038" s="1470"/>
      <c r="M3038" s="851">
        <v>0</v>
      </c>
      <c r="N3038" s="1470">
        <v>2.0105803648913541</v>
      </c>
      <c r="O3038" s="1470"/>
    </row>
    <row r="3039" spans="11:15">
      <c r="K3039" s="1466">
        <v>45096</v>
      </c>
      <c r="L3039" s="1470" t="s">
        <v>2127</v>
      </c>
      <c r="M3039" s="851">
        <v>5.0788E-2</v>
      </c>
      <c r="N3039" s="1470">
        <v>2.0116014984470749</v>
      </c>
      <c r="O3039" s="1470"/>
    </row>
    <row r="3040" spans="11:15">
      <c r="K3040" s="1466">
        <v>45097</v>
      </c>
      <c r="L3040" s="1470" t="s">
        <v>2127</v>
      </c>
      <c r="M3040" s="851">
        <v>5.0788E-2</v>
      </c>
      <c r="N3040" s="1470">
        <v>2.0126231506161063</v>
      </c>
      <c r="O3040" s="1470"/>
    </row>
    <row r="3041" spans="11:15">
      <c r="K3041" s="1466">
        <v>45098</v>
      </c>
      <c r="L3041" s="1470" t="s">
        <v>2127</v>
      </c>
      <c r="M3041" s="851">
        <v>5.0788E-2</v>
      </c>
      <c r="N3041" s="1470">
        <v>2.0136453216618411</v>
      </c>
      <c r="O3041" s="1470"/>
    </row>
    <row r="3042" spans="11:15">
      <c r="K3042" s="1466">
        <v>45099</v>
      </c>
      <c r="L3042" s="1470" t="s">
        <v>2127</v>
      </c>
      <c r="M3042" s="851">
        <v>5.0788E-2</v>
      </c>
      <c r="N3042" s="1470">
        <v>2.0146680118478066</v>
      </c>
      <c r="O3042" s="1470"/>
    </row>
    <row r="3043" spans="11:15">
      <c r="K3043" s="1466">
        <v>45100</v>
      </c>
      <c r="L3043" s="1470" t="s">
        <v>2127</v>
      </c>
      <c r="M3043" s="851">
        <v>5.0788E-2</v>
      </c>
      <c r="N3043" s="1470">
        <v>2.0156912214376641</v>
      </c>
      <c r="O3043" s="1470"/>
    </row>
    <row r="3044" spans="11:15">
      <c r="K3044" s="1466">
        <v>45101</v>
      </c>
      <c r="L3044" s="1470"/>
      <c r="M3044" s="851">
        <v>0</v>
      </c>
      <c r="N3044" s="1470">
        <v>2.0156912214376641</v>
      </c>
      <c r="O3044" s="1470"/>
    </row>
    <row r="3045" spans="11:15">
      <c r="K3045" s="1466">
        <v>45102</v>
      </c>
      <c r="L3045" s="1470"/>
      <c r="M3045" s="851">
        <v>0</v>
      </c>
      <c r="N3045" s="1470">
        <v>2.0156912214376641</v>
      </c>
      <c r="O3045" s="1470"/>
    </row>
    <row r="3046" spans="11:15">
      <c r="K3046" s="1466">
        <v>45103</v>
      </c>
      <c r="L3046" s="1470" t="s">
        <v>2127</v>
      </c>
      <c r="M3046" s="851">
        <v>5.0788E-2</v>
      </c>
      <c r="N3046" s="1470">
        <v>2.0167149506952078</v>
      </c>
      <c r="O3046" s="1470"/>
    </row>
    <row r="3047" spans="11:15">
      <c r="K3047" s="1466">
        <v>45104</v>
      </c>
      <c r="L3047" s="1470" t="s">
        <v>2127</v>
      </c>
      <c r="M3047" s="851">
        <v>5.0788E-2</v>
      </c>
      <c r="N3047" s="1470">
        <v>2.017739199884367</v>
      </c>
      <c r="O3047" s="1470"/>
    </row>
    <row r="3048" spans="11:15">
      <c r="K3048" s="1466">
        <v>45105</v>
      </c>
      <c r="L3048" s="1470" t="s">
        <v>2127</v>
      </c>
      <c r="M3048" s="851">
        <v>5.0788E-2</v>
      </c>
      <c r="N3048" s="1470">
        <v>2.0187639692692043</v>
      </c>
      <c r="O3048" s="1470"/>
    </row>
    <row r="3049" spans="11:15">
      <c r="K3049" s="1466">
        <v>45106</v>
      </c>
      <c r="L3049" s="1470" t="s">
        <v>2127</v>
      </c>
      <c r="M3049" s="851">
        <v>5.0788E-2</v>
      </c>
      <c r="N3049" s="1470">
        <v>2.0197892591139168</v>
      </c>
      <c r="O3049" s="1470"/>
    </row>
    <row r="3050" spans="11:15">
      <c r="K3050" s="1466">
        <v>45107</v>
      </c>
      <c r="L3050" s="1470" t="s">
        <v>2127</v>
      </c>
      <c r="M3050" s="851">
        <v>5.0788E-2</v>
      </c>
      <c r="N3050" s="1470">
        <v>2.0208150696828358</v>
      </c>
      <c r="O3050" s="1470"/>
    </row>
    <row r="3051" spans="11:15">
      <c r="K3051" s="1466">
        <v>45108</v>
      </c>
      <c r="L3051" s="1470"/>
      <c r="M3051" s="851">
        <v>0</v>
      </c>
      <c r="N3051" s="1470">
        <v>2.0208150696828358</v>
      </c>
      <c r="O3051" s="1470"/>
    </row>
    <row r="3052" spans="11:15">
      <c r="K3052" s="1466">
        <v>45109</v>
      </c>
      <c r="L3052" s="1470"/>
      <c r="M3052" s="851">
        <v>0</v>
      </c>
      <c r="N3052" s="1470">
        <v>2.0208150696828358</v>
      </c>
      <c r="O3052" s="1470"/>
    </row>
    <row r="3053" spans="11:15">
      <c r="K3053" s="1466">
        <v>45110</v>
      </c>
      <c r="L3053" s="1470" t="s">
        <v>2127</v>
      </c>
      <c r="M3053" s="851">
        <v>5.0788E-2</v>
      </c>
      <c r="N3053" s="1470">
        <v>2.0218414012404264</v>
      </c>
      <c r="O3053" s="1470"/>
    </row>
    <row r="3054" spans="11:15">
      <c r="K3054" s="1466">
        <v>45111</v>
      </c>
      <c r="L3054" s="1470" t="s">
        <v>2127</v>
      </c>
      <c r="M3054" s="851">
        <v>5.0788E-2</v>
      </c>
      <c r="N3054" s="1470">
        <v>2.0228682540512883</v>
      </c>
      <c r="O3054" s="1470"/>
    </row>
    <row r="3055" spans="11:15">
      <c r="K3055" s="1466">
        <v>45112</v>
      </c>
      <c r="L3055" s="1470" t="s">
        <v>2127</v>
      </c>
      <c r="M3055" s="851">
        <v>5.0788E-2</v>
      </c>
      <c r="N3055" s="1470">
        <v>2.0238956283801559</v>
      </c>
      <c r="O3055" s="1470"/>
    </row>
    <row r="3056" spans="11:15">
      <c r="K3056" s="1466">
        <v>45113</v>
      </c>
      <c r="L3056" s="1470" t="s">
        <v>2127</v>
      </c>
      <c r="M3056" s="851">
        <v>5.0788E-2</v>
      </c>
      <c r="N3056" s="1470">
        <v>2.0249235244918977</v>
      </c>
      <c r="O3056" s="1470"/>
    </row>
    <row r="3057" spans="11:15">
      <c r="K3057" s="1466">
        <v>45114</v>
      </c>
      <c r="L3057" s="1470" t="s">
        <v>2127</v>
      </c>
      <c r="M3057" s="851">
        <v>5.0788E-2</v>
      </c>
      <c r="N3057" s="1470">
        <v>2.0259519426515169</v>
      </c>
      <c r="O3057" s="1470"/>
    </row>
    <row r="3058" spans="11:15">
      <c r="K3058" s="1466">
        <v>45115</v>
      </c>
      <c r="L3058" s="1470"/>
      <c r="M3058" s="851">
        <v>0</v>
      </c>
      <c r="N3058" s="1470">
        <v>2.0259519426515169</v>
      </c>
      <c r="O3058" s="1470"/>
    </row>
    <row r="3059" spans="11:15">
      <c r="K3059" s="1466">
        <v>45116</v>
      </c>
      <c r="L3059" s="1470"/>
      <c r="M3059" s="851">
        <v>0</v>
      </c>
      <c r="N3059" s="1470">
        <v>2.0259519426515169</v>
      </c>
      <c r="O3059" s="1470"/>
    </row>
    <row r="3060" spans="11:15">
      <c r="K3060" s="1466">
        <v>45117</v>
      </c>
      <c r="L3060" s="1470" t="s">
        <v>2127</v>
      </c>
      <c r="M3060" s="851">
        <v>5.0788E-2</v>
      </c>
      <c r="N3060" s="1470">
        <v>2.0269808831241507</v>
      </c>
      <c r="O3060" s="1470"/>
    </row>
    <row r="3061" spans="11:15">
      <c r="K3061" s="1466">
        <v>45118</v>
      </c>
      <c r="L3061" s="1470" t="s">
        <v>2127</v>
      </c>
      <c r="M3061" s="851">
        <v>5.0788E-2</v>
      </c>
      <c r="N3061" s="1470">
        <v>2.0280103461750718</v>
      </c>
      <c r="O3061" s="1470"/>
    </row>
    <row r="3062" spans="11:15">
      <c r="K3062" s="1466">
        <v>45119</v>
      </c>
      <c r="L3062" s="1470" t="s">
        <v>2127</v>
      </c>
      <c r="M3062" s="851">
        <v>5.0788E-2</v>
      </c>
      <c r="N3062" s="1470">
        <v>2.029040332069687</v>
      </c>
      <c r="O3062" s="1470"/>
    </row>
    <row r="3063" spans="11:15">
      <c r="K3063" s="1466">
        <v>45120</v>
      </c>
      <c r="L3063" s="1470" t="s">
        <v>2127</v>
      </c>
      <c r="M3063" s="851">
        <v>5.0788E-2</v>
      </c>
      <c r="N3063" s="1470">
        <v>2.0300708410735386</v>
      </c>
      <c r="O3063" s="1470"/>
    </row>
    <row r="3064" spans="11:15">
      <c r="K3064" s="1466">
        <v>45121</v>
      </c>
      <c r="L3064" s="1470" t="s">
        <v>2127</v>
      </c>
      <c r="M3064" s="851">
        <v>5.0788E-2</v>
      </c>
      <c r="N3064" s="1470">
        <v>2.031101873452303</v>
      </c>
      <c r="O3064" s="1470"/>
    </row>
    <row r="3065" spans="11:15">
      <c r="K3065" s="1466">
        <v>45122</v>
      </c>
      <c r="L3065" s="1470"/>
      <c r="M3065" s="851">
        <v>0</v>
      </c>
      <c r="N3065" s="1470">
        <v>2.031101873452303</v>
      </c>
      <c r="O3065" s="1470"/>
    </row>
    <row r="3066" spans="11:15">
      <c r="K3066" s="1466">
        <v>45123</v>
      </c>
      <c r="L3066" s="1470"/>
      <c r="M3066" s="851">
        <v>0</v>
      </c>
      <c r="N3066" s="1470">
        <v>2.031101873452303</v>
      </c>
      <c r="O3066" s="1470"/>
    </row>
    <row r="3067" spans="11:15">
      <c r="K3067" s="1466">
        <v>45124</v>
      </c>
      <c r="L3067" s="1470" t="s">
        <v>2127</v>
      </c>
      <c r="M3067" s="851">
        <v>5.0788E-2</v>
      </c>
      <c r="N3067" s="1470">
        <v>2.0321334294717919</v>
      </c>
      <c r="O3067" s="1470"/>
    </row>
    <row r="3068" spans="11:15">
      <c r="K3068" s="1466">
        <v>45125</v>
      </c>
      <c r="L3068" s="1470" t="s">
        <v>2127</v>
      </c>
      <c r="M3068" s="851">
        <v>5.0788E-2</v>
      </c>
      <c r="N3068" s="1470">
        <v>2.0331655093979522</v>
      </c>
      <c r="O3068" s="1470"/>
    </row>
    <row r="3069" spans="11:15">
      <c r="K3069" s="1466">
        <v>45126</v>
      </c>
      <c r="L3069" s="1470" t="s">
        <v>2127</v>
      </c>
      <c r="M3069" s="851">
        <v>5.0788E-2</v>
      </c>
      <c r="N3069" s="1470">
        <v>2.0341981134968652</v>
      </c>
      <c r="O3069" s="1470"/>
    </row>
    <row r="3070" spans="11:15">
      <c r="K3070" s="1466">
        <v>45127</v>
      </c>
      <c r="L3070" s="1470" t="s">
        <v>2127</v>
      </c>
      <c r="M3070" s="851">
        <v>5.0788E-2</v>
      </c>
      <c r="N3070" s="1470">
        <v>2.0352312420347478</v>
      </c>
      <c r="O3070" s="1470"/>
    </row>
    <row r="3071" spans="11:15">
      <c r="K3071" s="1466">
        <v>45128</v>
      </c>
      <c r="L3071" s="1470" t="s">
        <v>2127</v>
      </c>
      <c r="M3071" s="851">
        <v>5.0788E-2</v>
      </c>
      <c r="N3071" s="1470">
        <v>2.0362648952779523</v>
      </c>
      <c r="O3071" s="1470"/>
    </row>
    <row r="3072" spans="11:15">
      <c r="K3072" s="1466">
        <v>45129</v>
      </c>
      <c r="L3072" s="1470"/>
      <c r="M3072" s="851">
        <v>0</v>
      </c>
      <c r="N3072" s="1470">
        <v>2.0362648952779523</v>
      </c>
      <c r="O3072" s="1470"/>
    </row>
    <row r="3073" spans="11:15">
      <c r="K3073" s="1466">
        <v>45130</v>
      </c>
      <c r="L3073" s="1470"/>
      <c r="M3073" s="851">
        <v>0</v>
      </c>
      <c r="N3073" s="1470">
        <v>2.0362648952779523</v>
      </c>
      <c r="O3073" s="1470"/>
    </row>
    <row r="3074" spans="11:15">
      <c r="K3074" s="1466">
        <v>45131</v>
      </c>
      <c r="L3074" s="1470" t="s">
        <v>2127</v>
      </c>
      <c r="M3074" s="851">
        <v>5.0788E-2</v>
      </c>
      <c r="N3074" s="1470">
        <v>2.0372990734929659</v>
      </c>
      <c r="O3074" s="1470"/>
    </row>
    <row r="3075" spans="11:15">
      <c r="K3075" s="1466">
        <v>45132</v>
      </c>
      <c r="L3075" s="1470" t="s">
        <v>2127</v>
      </c>
      <c r="M3075" s="851">
        <v>5.0788E-2</v>
      </c>
      <c r="N3075" s="1470">
        <v>2.0383337769464114</v>
      </c>
      <c r="O3075" s="1470"/>
    </row>
    <row r="3076" spans="11:15">
      <c r="K3076" s="1466">
        <v>45133</v>
      </c>
      <c r="L3076" s="1470" t="s">
        <v>2127</v>
      </c>
      <c r="M3076" s="851">
        <v>5.0788E-2</v>
      </c>
      <c r="N3076" s="1470">
        <v>2.0393690059050469</v>
      </c>
      <c r="O3076" s="1470"/>
    </row>
    <row r="3077" spans="11:15">
      <c r="K3077" s="1466">
        <v>45134</v>
      </c>
      <c r="L3077" s="1470" t="s">
        <v>2127</v>
      </c>
      <c r="M3077" s="851">
        <v>5.0788E-2</v>
      </c>
      <c r="N3077" s="1470">
        <v>2.040404760635766</v>
      </c>
      <c r="O3077" s="1470"/>
    </row>
    <row r="3078" spans="11:15">
      <c r="K3078" s="1466">
        <v>45135</v>
      </c>
      <c r="L3078" s="1470" t="s">
        <v>2127</v>
      </c>
      <c r="M3078" s="851">
        <v>5.0788E-2</v>
      </c>
      <c r="N3078" s="1470">
        <v>2.0414410414055979</v>
      </c>
      <c r="O3078" s="1470"/>
    </row>
    <row r="3079" spans="11:15">
      <c r="K3079" s="1466">
        <v>45136</v>
      </c>
      <c r="L3079" s="1470"/>
      <c r="M3079" s="851">
        <v>0</v>
      </c>
      <c r="N3079" s="1470">
        <v>2.0414410414055979</v>
      </c>
      <c r="O3079" s="1470"/>
    </row>
    <row r="3080" spans="11:15">
      <c r="K3080" s="1466">
        <v>45137</v>
      </c>
      <c r="L3080" s="1470"/>
      <c r="M3080" s="851">
        <v>0</v>
      </c>
      <c r="N3080" s="1470">
        <v>2.0414410414055979</v>
      </c>
      <c r="O3080" s="1470"/>
    </row>
    <row r="3081" spans="11:15">
      <c r="K3081" s="1466">
        <v>45138</v>
      </c>
      <c r="L3081" s="1470" t="s">
        <v>2127</v>
      </c>
      <c r="M3081" s="851">
        <v>5.0788E-2</v>
      </c>
      <c r="N3081" s="1470">
        <v>2.042477848481707</v>
      </c>
      <c r="O3081" s="1470"/>
    </row>
    <row r="3082" spans="11:15">
      <c r="K3082" s="1466">
        <v>45139</v>
      </c>
      <c r="L3082" s="1470" t="s">
        <v>2127</v>
      </c>
      <c r="M3082" s="851">
        <v>5.0788E-2</v>
      </c>
      <c r="N3082" s="1470">
        <v>2.0435151821313937</v>
      </c>
      <c r="O3082" s="1470"/>
    </row>
    <row r="3083" spans="11:15">
      <c r="K3083" s="1466">
        <v>45140</v>
      </c>
      <c r="L3083" s="1470" t="s">
        <v>2127</v>
      </c>
      <c r="M3083" s="851">
        <v>5.0788E-2</v>
      </c>
      <c r="N3083" s="1470">
        <v>2.0445530426220948</v>
      </c>
      <c r="O3083" s="1470"/>
    </row>
    <row r="3084" spans="11:15">
      <c r="K3084" s="1466">
        <v>45141</v>
      </c>
      <c r="L3084" s="1470" t="s">
        <v>2127</v>
      </c>
      <c r="M3084" s="851">
        <v>5.0788E-2</v>
      </c>
      <c r="N3084" s="1470">
        <v>2.0455914302213816</v>
      </c>
      <c r="O3084" s="1470"/>
    </row>
    <row r="3085" spans="11:15">
      <c r="K3085" s="1466">
        <v>45142</v>
      </c>
      <c r="L3085" s="1470" t="s">
        <v>2127</v>
      </c>
      <c r="M3085" s="851">
        <v>5.0788E-2</v>
      </c>
      <c r="N3085" s="1470">
        <v>2.0466303451969625</v>
      </c>
      <c r="O3085" s="1470"/>
    </row>
    <row r="3086" spans="11:15">
      <c r="K3086" s="1466">
        <v>45143</v>
      </c>
      <c r="L3086" s="1470"/>
      <c r="M3086" s="851">
        <v>0</v>
      </c>
      <c r="N3086" s="1470">
        <v>2.0466303451969625</v>
      </c>
      <c r="O3086" s="1470"/>
    </row>
    <row r="3087" spans="11:15">
      <c r="K3087" s="1466">
        <v>45144</v>
      </c>
      <c r="L3087" s="1470"/>
      <c r="M3087" s="851">
        <v>0</v>
      </c>
      <c r="N3087" s="1470">
        <v>2.0466303451969625</v>
      </c>
      <c r="O3087" s="1470"/>
    </row>
    <row r="3088" spans="11:15">
      <c r="K3088" s="1466">
        <v>45145</v>
      </c>
      <c r="L3088" s="1470" t="s">
        <v>2127</v>
      </c>
      <c r="M3088" s="851">
        <v>5.0788E-2</v>
      </c>
      <c r="N3088" s="1470">
        <v>2.0476697878166812</v>
      </c>
      <c r="O3088" s="1470"/>
    </row>
    <row r="3089" spans="11:15">
      <c r="K3089" s="1466">
        <v>45146</v>
      </c>
      <c r="L3089" s="1470" t="s">
        <v>2127</v>
      </c>
      <c r="M3089" s="851">
        <v>5.0788E-2</v>
      </c>
      <c r="N3089" s="1470">
        <v>2.0487097583485174</v>
      </c>
      <c r="O3089" s="1470"/>
    </row>
    <row r="3090" spans="11:15">
      <c r="K3090" s="1466">
        <v>45147</v>
      </c>
      <c r="L3090" s="1470" t="s">
        <v>2127</v>
      </c>
      <c r="M3090" s="851">
        <v>5.0788E-2</v>
      </c>
      <c r="N3090" s="1470">
        <v>2.0497502570605874</v>
      </c>
      <c r="O3090" s="1470"/>
    </row>
    <row r="3091" spans="11:15">
      <c r="K3091" s="1466">
        <v>45148</v>
      </c>
      <c r="L3091" s="1470" t="s">
        <v>2127</v>
      </c>
      <c r="M3091" s="851">
        <v>5.0788E-2</v>
      </c>
      <c r="N3091" s="1470">
        <v>2.0507912842211433</v>
      </c>
      <c r="O3091" s="1470"/>
    </row>
    <row r="3092" spans="11:15">
      <c r="K3092" s="1466">
        <v>45149</v>
      </c>
      <c r="L3092" s="1470" t="s">
        <v>2127</v>
      </c>
      <c r="M3092" s="851">
        <v>5.0788E-2</v>
      </c>
      <c r="N3092" s="1470">
        <v>2.0518328400985735</v>
      </c>
      <c r="O3092" s="1470"/>
    </row>
    <row r="3093" spans="11:15">
      <c r="K3093" s="1466">
        <v>45150</v>
      </c>
      <c r="L3093" s="1470"/>
      <c r="M3093" s="851">
        <v>0</v>
      </c>
      <c r="N3093" s="1470">
        <v>2.0518328400985735</v>
      </c>
      <c r="O3093" s="1470"/>
    </row>
    <row r="3094" spans="11:15">
      <c r="K3094" s="1466">
        <v>45151</v>
      </c>
      <c r="L3094" s="1470"/>
      <c r="M3094" s="851">
        <v>0</v>
      </c>
      <c r="N3094" s="1470">
        <v>2.0518328400985735</v>
      </c>
      <c r="O3094" s="1470"/>
    </row>
    <row r="3095" spans="11:15">
      <c r="K3095" s="1466">
        <v>45152</v>
      </c>
      <c r="L3095" s="1470" t="s">
        <v>2127</v>
      </c>
      <c r="M3095" s="851">
        <v>5.0788E-2</v>
      </c>
      <c r="N3095" s="1470">
        <v>2.0528749249614027</v>
      </c>
      <c r="O3095" s="1470"/>
    </row>
    <row r="3096" spans="11:15">
      <c r="K3096" s="1466">
        <v>45153</v>
      </c>
      <c r="L3096" s="1470" t="s">
        <v>2127</v>
      </c>
      <c r="M3096" s="851">
        <v>5.0788E-2</v>
      </c>
      <c r="N3096" s="1470">
        <v>2.053917539078292</v>
      </c>
      <c r="O3096" s="1470"/>
    </row>
    <row r="3097" spans="11:15">
      <c r="K3097" s="1466">
        <v>45154</v>
      </c>
      <c r="L3097" s="1470" t="s">
        <v>2127</v>
      </c>
      <c r="M3097" s="851">
        <v>5.0788E-2</v>
      </c>
      <c r="N3097" s="1470">
        <v>2.0549606827180393</v>
      </c>
      <c r="O3097" s="1470"/>
    </row>
    <row r="3098" spans="11:15">
      <c r="K3098" s="1466">
        <v>45155</v>
      </c>
      <c r="L3098" s="1470" t="s">
        <v>2127</v>
      </c>
      <c r="M3098" s="851">
        <v>5.0788E-2</v>
      </c>
      <c r="N3098" s="1470">
        <v>2.056004356149578</v>
      </c>
      <c r="O3098" s="1470"/>
    </row>
    <row r="3099" spans="11:15">
      <c r="K3099" s="1466">
        <v>45156</v>
      </c>
      <c r="L3099" s="1470" t="s">
        <v>2127</v>
      </c>
      <c r="M3099" s="851">
        <v>5.0788E-2</v>
      </c>
      <c r="N3099" s="1470">
        <v>2.0570485596419794</v>
      </c>
      <c r="O3099" s="1470"/>
    </row>
    <row r="3100" spans="11:15">
      <c r="K3100" s="1466">
        <v>45157</v>
      </c>
      <c r="L3100" s="1470"/>
      <c r="M3100" s="851">
        <v>0</v>
      </c>
      <c r="N3100" s="1470">
        <v>2.0570485596419794</v>
      </c>
      <c r="O3100" s="1470"/>
    </row>
    <row r="3101" spans="11:15">
      <c r="K3101" s="1466">
        <v>45158</v>
      </c>
      <c r="L3101" s="1470"/>
      <c r="M3101" s="851">
        <v>0</v>
      </c>
      <c r="N3101" s="1470">
        <v>2.0570485596419794</v>
      </c>
      <c r="O3101" s="1470"/>
    </row>
    <row r="3102" spans="11:15">
      <c r="K3102" s="1466">
        <v>45159</v>
      </c>
      <c r="L3102" s="1470" t="s">
        <v>2127</v>
      </c>
      <c r="M3102" s="851">
        <v>5.0788E-2</v>
      </c>
      <c r="N3102" s="1470">
        <v>2.0580932934644505</v>
      </c>
      <c r="O3102" s="1470"/>
    </row>
    <row r="3103" spans="11:15">
      <c r="K3103" s="1466">
        <v>45160</v>
      </c>
      <c r="L3103" s="1470" t="s">
        <v>2127</v>
      </c>
      <c r="M3103" s="851">
        <v>5.0788E-2</v>
      </c>
      <c r="N3103" s="1470">
        <v>2.0591385578863353</v>
      </c>
      <c r="O3103" s="1470"/>
    </row>
    <row r="3104" spans="11:15">
      <c r="K3104" s="1466">
        <v>45161</v>
      </c>
      <c r="L3104" s="1470" t="s">
        <v>2127</v>
      </c>
      <c r="M3104" s="851">
        <v>5.0788E-2</v>
      </c>
      <c r="N3104" s="1470">
        <v>2.0601843531771147</v>
      </c>
      <c r="O3104" s="1470"/>
    </row>
    <row r="3105" spans="11:15">
      <c r="K3105" s="1466">
        <v>45162</v>
      </c>
      <c r="L3105" s="1470" t="s">
        <v>2127</v>
      </c>
      <c r="M3105" s="851">
        <v>5.0788E-2</v>
      </c>
      <c r="N3105" s="1470">
        <v>2.0612306796064064</v>
      </c>
      <c r="O3105" s="1470"/>
    </row>
    <row r="3106" spans="11:15">
      <c r="K3106" s="1466">
        <v>45163</v>
      </c>
      <c r="L3106" s="1470" t="s">
        <v>2127</v>
      </c>
      <c r="M3106" s="851">
        <v>5.0788E-2</v>
      </c>
      <c r="N3106" s="1470">
        <v>2.0622775374439648</v>
      </c>
      <c r="O3106" s="1470"/>
    </row>
    <row r="3107" spans="11:15">
      <c r="K3107" s="1466">
        <v>45164</v>
      </c>
      <c r="L3107" s="1470"/>
      <c r="M3107" s="851">
        <v>0</v>
      </c>
      <c r="N3107" s="1470">
        <v>2.0622775374439648</v>
      </c>
      <c r="O3107" s="1470"/>
    </row>
    <row r="3108" spans="11:15">
      <c r="K3108" s="1466">
        <v>45165</v>
      </c>
      <c r="L3108" s="1470"/>
      <c r="M3108" s="851">
        <v>0</v>
      </c>
      <c r="N3108" s="1470">
        <v>2.0622775374439648</v>
      </c>
      <c r="O3108" s="1470"/>
    </row>
    <row r="3109" spans="11:15">
      <c r="K3109" s="1466">
        <v>45166</v>
      </c>
      <c r="L3109" s="1470" t="s">
        <v>2127</v>
      </c>
      <c r="M3109" s="851">
        <v>5.0788E-2</v>
      </c>
      <c r="N3109" s="1470">
        <v>2.0633249269596821</v>
      </c>
      <c r="O3109" s="1470"/>
    </row>
    <row r="3110" spans="11:15">
      <c r="K3110" s="1466">
        <v>45167</v>
      </c>
      <c r="L3110" s="1470" t="s">
        <v>2127</v>
      </c>
      <c r="M3110" s="851">
        <v>5.0788E-2</v>
      </c>
      <c r="N3110" s="1470">
        <v>2.0643728484235866</v>
      </c>
      <c r="O3110" s="1470"/>
    </row>
    <row r="3111" spans="11:15">
      <c r="K3111" s="1466">
        <v>45168</v>
      </c>
      <c r="L3111" s="1470" t="s">
        <v>2127</v>
      </c>
      <c r="M3111" s="851">
        <v>5.0788E-2</v>
      </c>
      <c r="N3111" s="1470">
        <v>2.0654213021058441</v>
      </c>
      <c r="O3111" s="1470"/>
    </row>
    <row r="3112" spans="11:15">
      <c r="K3112" s="1466">
        <v>45169</v>
      </c>
      <c r="L3112" s="1470" t="s">
        <v>2127</v>
      </c>
      <c r="M3112" s="851">
        <v>5.0788E-2</v>
      </c>
      <c r="N3112" s="1470">
        <v>2.0664702882767578</v>
      </c>
      <c r="O3112" s="1470"/>
    </row>
    <row r="3113" spans="11:15">
      <c r="K3113" s="1466">
        <v>45170</v>
      </c>
      <c r="L3113" s="1470" t="s">
        <v>2127</v>
      </c>
      <c r="M3113" s="851">
        <v>5.0788E-2</v>
      </c>
      <c r="N3113" s="1470">
        <v>2.067519807206768</v>
      </c>
      <c r="O3113" s="1470"/>
    </row>
    <row r="3114" spans="11:15">
      <c r="K3114" s="1466">
        <v>45171</v>
      </c>
      <c r="L3114" s="1470"/>
      <c r="M3114" s="851">
        <v>0</v>
      </c>
      <c r="N3114" s="1470">
        <v>2.067519807206768</v>
      </c>
      <c r="O3114" s="1470"/>
    </row>
    <row r="3115" spans="11:15">
      <c r="K3115" s="1466">
        <v>45172</v>
      </c>
      <c r="L3115" s="1470"/>
      <c r="M3115" s="851">
        <v>0</v>
      </c>
      <c r="N3115" s="1470">
        <v>2.067519807206768</v>
      </c>
      <c r="O3115" s="1470"/>
    </row>
    <row r="3116" spans="11:15">
      <c r="K3116" s="1466">
        <v>45173</v>
      </c>
      <c r="L3116" s="1470" t="s">
        <v>2127</v>
      </c>
      <c r="M3116" s="851">
        <v>5.0788E-2</v>
      </c>
      <c r="N3116" s="1470">
        <v>2.0685698591664523</v>
      </c>
      <c r="O3116" s="1470"/>
    </row>
    <row r="3117" spans="11:15">
      <c r="K3117" s="1466">
        <v>45174</v>
      </c>
      <c r="L3117" s="1470" t="s">
        <v>2127</v>
      </c>
      <c r="M3117" s="851">
        <v>5.0788E-2</v>
      </c>
      <c r="N3117" s="1470">
        <v>2.0696204444265258</v>
      </c>
      <c r="O3117" s="1470"/>
    </row>
    <row r="3118" spans="11:15">
      <c r="K3118" s="1466">
        <v>45175</v>
      </c>
      <c r="L3118" s="1470" t="s">
        <v>2127</v>
      </c>
      <c r="M3118" s="851">
        <v>5.0788E-2</v>
      </c>
      <c r="N3118" s="1470">
        <v>2.0706715632578412</v>
      </c>
      <c r="O3118" s="1470"/>
    </row>
    <row r="3119" spans="11:15">
      <c r="K3119" s="1466">
        <v>45176</v>
      </c>
      <c r="L3119" s="1470"/>
      <c r="M3119" s="851">
        <v>0</v>
      </c>
      <c r="N3119" s="1470">
        <v>2.0706715632578412</v>
      </c>
      <c r="O3119" s="1470"/>
    </row>
    <row r="3120" spans="11:15">
      <c r="K3120" s="1466">
        <v>45177</v>
      </c>
      <c r="L3120" s="1470" t="s">
        <v>2127</v>
      </c>
      <c r="M3120" s="851">
        <v>5.0788E-2</v>
      </c>
      <c r="N3120" s="1470">
        <v>2.0717232159313888</v>
      </c>
      <c r="O3120" s="1470"/>
    </row>
    <row r="3121" spans="11:15">
      <c r="K3121" s="1466">
        <v>45178</v>
      </c>
      <c r="L3121" s="1470"/>
      <c r="M3121" s="851">
        <v>0</v>
      </c>
      <c r="N3121" s="1470">
        <v>2.0717232159313888</v>
      </c>
      <c r="O3121" s="1470"/>
    </row>
    <row r="3122" spans="11:15">
      <c r="K3122" s="1466">
        <v>45179</v>
      </c>
      <c r="L3122" s="1470"/>
      <c r="M3122" s="851">
        <v>0</v>
      </c>
      <c r="N3122" s="1470">
        <v>2.0717232159313888</v>
      </c>
      <c r="O3122" s="1470"/>
    </row>
    <row r="3123" spans="11:15">
      <c r="K3123" s="1466">
        <v>45180</v>
      </c>
      <c r="L3123" s="1470" t="s">
        <v>2127</v>
      </c>
      <c r="M3123" s="851">
        <v>5.0788E-2</v>
      </c>
      <c r="N3123" s="1470">
        <v>2.0727754027182961</v>
      </c>
      <c r="O3123" s="1470"/>
    </row>
    <row r="3124" spans="11:15">
      <c r="K3124" s="1466">
        <v>45181</v>
      </c>
      <c r="L3124" s="1470" t="s">
        <v>2127</v>
      </c>
      <c r="M3124" s="851">
        <v>5.0788E-2</v>
      </c>
      <c r="N3124" s="1470">
        <v>2.0738281238898288</v>
      </c>
      <c r="O3124" s="1470"/>
    </row>
    <row r="3125" spans="11:15">
      <c r="K3125" s="1466">
        <v>45182</v>
      </c>
      <c r="L3125" s="1470" t="s">
        <v>2127</v>
      </c>
      <c r="M3125" s="851">
        <v>5.0788E-2</v>
      </c>
      <c r="N3125" s="1470">
        <v>2.07488137971739</v>
      </c>
      <c r="O3125" s="1470"/>
    </row>
    <row r="3126" spans="11:15">
      <c r="K3126" s="1466">
        <v>45183</v>
      </c>
      <c r="L3126" s="1470" t="s">
        <v>2127</v>
      </c>
      <c r="M3126" s="851">
        <v>5.0788E-2</v>
      </c>
      <c r="N3126" s="1470">
        <v>2.0759351704725209</v>
      </c>
      <c r="O3126" s="1470"/>
    </row>
    <row r="3127" spans="11:15">
      <c r="K3127" s="1466">
        <v>45184</v>
      </c>
      <c r="L3127" s="1470" t="s">
        <v>2127</v>
      </c>
      <c r="M3127" s="851">
        <v>5.0788E-2</v>
      </c>
      <c r="N3127" s="1470">
        <v>2.0769894964269007</v>
      </c>
      <c r="O3127" s="1470"/>
    </row>
    <row r="3128" spans="11:15">
      <c r="K3128" s="1466">
        <v>45185</v>
      </c>
      <c r="L3128" s="1470"/>
      <c r="M3128" s="851">
        <v>0</v>
      </c>
      <c r="N3128" s="1470">
        <v>2.0769894964269007</v>
      </c>
      <c r="O3128" s="1470"/>
    </row>
    <row r="3129" spans="11:15">
      <c r="K3129" s="1466">
        <v>45186</v>
      </c>
      <c r="L3129" s="1470"/>
      <c r="M3129" s="851">
        <v>0</v>
      </c>
      <c r="N3129" s="1470">
        <v>2.0769894964269007</v>
      </c>
      <c r="O3129" s="1470"/>
    </row>
    <row r="3130" spans="11:15">
      <c r="K3130" s="1466">
        <v>45187</v>
      </c>
      <c r="L3130" s="1470" t="s">
        <v>2127</v>
      </c>
      <c r="M3130" s="851">
        <v>5.0788E-2</v>
      </c>
      <c r="N3130" s="1470">
        <v>2.0780443578523462</v>
      </c>
      <c r="O3130" s="1470"/>
    </row>
    <row r="3131" spans="11:15">
      <c r="K3131" s="1466">
        <v>45188</v>
      </c>
      <c r="L3131" s="1470" t="s">
        <v>2127</v>
      </c>
      <c r="M3131" s="851">
        <v>5.0788E-2</v>
      </c>
      <c r="N3131" s="1470">
        <v>2.0790997550208123</v>
      </c>
      <c r="O3131" s="1470"/>
    </row>
    <row r="3132" spans="11:15">
      <c r="K3132" s="1466">
        <v>45189</v>
      </c>
      <c r="L3132" s="1470" t="s">
        <v>2127</v>
      </c>
      <c r="M3132" s="851">
        <v>5.0788E-2</v>
      </c>
      <c r="N3132" s="1470">
        <v>2.0801556882043926</v>
      </c>
      <c r="O3132" s="1470"/>
    </row>
    <row r="3133" spans="11:15">
      <c r="K3133" s="1466">
        <v>45190</v>
      </c>
      <c r="L3133" s="1470" t="s">
        <v>2127</v>
      </c>
      <c r="M3133" s="851">
        <v>5.0788E-2</v>
      </c>
      <c r="N3133" s="1470">
        <v>2.081212157675318</v>
      </c>
      <c r="O3133" s="1470"/>
    </row>
    <row r="3134" spans="11:15">
      <c r="K3134" s="1466">
        <v>45191</v>
      </c>
      <c r="L3134" s="1470" t="s">
        <v>2127</v>
      </c>
      <c r="M3134" s="851">
        <v>5.0788E-2</v>
      </c>
      <c r="N3134" s="1470">
        <v>2.0822691637059583</v>
      </c>
      <c r="O3134" s="1470"/>
    </row>
    <row r="3135" spans="11:15">
      <c r="K3135" s="1466">
        <v>45192</v>
      </c>
      <c r="L3135" s="1470"/>
      <c r="M3135" s="851">
        <v>0</v>
      </c>
      <c r="N3135" s="1470">
        <v>2.0822691637059583</v>
      </c>
      <c r="O3135" s="1470"/>
    </row>
    <row r="3136" spans="11:15">
      <c r="K3136" s="1466">
        <v>45193</v>
      </c>
      <c r="L3136" s="1470"/>
      <c r="M3136" s="851">
        <v>0</v>
      </c>
      <c r="N3136" s="1470">
        <v>2.0822691637059583</v>
      </c>
      <c r="O3136" s="1470"/>
    </row>
    <row r="3137" spans="11:15">
      <c r="K3137" s="1466">
        <v>45194</v>
      </c>
      <c r="L3137" s="1470" t="s">
        <v>2127</v>
      </c>
      <c r="M3137" s="851">
        <v>5.0788E-2</v>
      </c>
      <c r="N3137" s="1470">
        <v>2.0833267065688212</v>
      </c>
      <c r="O3137" s="1470"/>
    </row>
    <row r="3138" spans="11:15">
      <c r="K3138" s="1466">
        <v>45195</v>
      </c>
      <c r="L3138" s="1470" t="s">
        <v>2127</v>
      </c>
      <c r="M3138" s="851">
        <v>5.0788E-2</v>
      </c>
      <c r="N3138" s="1470">
        <v>2.0843847865365532</v>
      </c>
      <c r="O3138" s="1470"/>
    </row>
    <row r="3139" spans="11:15">
      <c r="K3139" s="1466">
        <v>45196</v>
      </c>
      <c r="L3139" s="1470" t="s">
        <v>2127</v>
      </c>
      <c r="M3139" s="851">
        <v>5.0788E-2</v>
      </c>
      <c r="N3139" s="1470">
        <v>2.0854434038819396</v>
      </c>
      <c r="O3139" s="1470"/>
    </row>
    <row r="3140" spans="11:15">
      <c r="K3140" s="1466">
        <v>45197</v>
      </c>
      <c r="L3140" s="1470" t="s">
        <v>2127</v>
      </c>
      <c r="M3140" s="851">
        <v>5.0788E-2</v>
      </c>
      <c r="N3140" s="1470">
        <v>2.0865025588779034</v>
      </c>
      <c r="O3140" s="1470"/>
    </row>
    <row r="3141" spans="11:15">
      <c r="K3141" s="1466">
        <v>45198</v>
      </c>
      <c r="L3141" s="1470" t="s">
        <v>2127</v>
      </c>
      <c r="M3141" s="851">
        <v>5.0788E-2</v>
      </c>
      <c r="N3141" s="1470">
        <v>2.0875622517975061</v>
      </c>
      <c r="O3141" s="1470"/>
    </row>
    <row r="3142" spans="11:15">
      <c r="K3142" s="1466">
        <v>45199</v>
      </c>
      <c r="L3142" s="1470"/>
      <c r="M3142" s="851">
        <v>0</v>
      </c>
      <c r="N3142" s="1470">
        <v>2.0875622517975061</v>
      </c>
      <c r="O3142" s="1470"/>
    </row>
    <row r="3143" spans="11:15">
      <c r="K3143" s="1466">
        <v>45200</v>
      </c>
      <c r="L3143" s="1470"/>
      <c r="M3143" s="851">
        <v>0</v>
      </c>
      <c r="N3143" s="1470">
        <v>2.0875622517975061</v>
      </c>
      <c r="O3143" s="1470"/>
    </row>
    <row r="3144" spans="11:15">
      <c r="K3144" s="1466">
        <v>45201</v>
      </c>
      <c r="L3144" s="1470" t="s">
        <v>2127</v>
      </c>
      <c r="M3144" s="851">
        <v>5.0788E-2</v>
      </c>
      <c r="N3144" s="1470">
        <v>2.0886224829139493</v>
      </c>
      <c r="O3144" s="1470"/>
    </row>
    <row r="3145" spans="11:15">
      <c r="K3145" s="1466">
        <v>45202</v>
      </c>
      <c r="L3145" s="1470" t="s">
        <v>2127</v>
      </c>
      <c r="M3145" s="851">
        <v>5.0788E-2</v>
      </c>
      <c r="N3145" s="1470">
        <v>2.0896832525005715</v>
      </c>
      <c r="O3145" s="1470"/>
    </row>
    <row r="3146" spans="11:15">
      <c r="K3146" s="1466">
        <v>45203</v>
      </c>
      <c r="L3146" s="1470" t="s">
        <v>2127</v>
      </c>
      <c r="M3146" s="851">
        <v>5.0788E-2</v>
      </c>
      <c r="N3146" s="1470">
        <v>2.0907445608308515</v>
      </c>
      <c r="O3146" s="1470"/>
    </row>
    <row r="3147" spans="11:15">
      <c r="K3147" s="1466">
        <v>45204</v>
      </c>
      <c r="L3147" s="1470" t="s">
        <v>2127</v>
      </c>
      <c r="M3147" s="851">
        <v>5.0788E-2</v>
      </c>
      <c r="N3147" s="1470">
        <v>2.0918064081784062</v>
      </c>
      <c r="O3147" s="1470"/>
    </row>
    <row r="3148" spans="11:15">
      <c r="K3148" s="1466">
        <v>45205</v>
      </c>
      <c r="L3148" s="1470" t="s">
        <v>2127</v>
      </c>
      <c r="M3148" s="851">
        <v>5.0788E-2</v>
      </c>
      <c r="N3148" s="1470">
        <v>2.092868794816992</v>
      </c>
      <c r="O3148" s="1470"/>
    </row>
    <row r="3149" spans="11:15">
      <c r="K3149" s="1466">
        <v>45206</v>
      </c>
      <c r="L3149" s="1470"/>
      <c r="M3149" s="851">
        <v>0</v>
      </c>
      <c r="N3149" s="1470">
        <v>2.092868794816992</v>
      </c>
      <c r="O3149" s="1470"/>
    </row>
    <row r="3150" spans="11:15">
      <c r="K3150" s="1466">
        <v>45207</v>
      </c>
      <c r="L3150" s="1470"/>
      <c r="M3150" s="851">
        <v>0</v>
      </c>
      <c r="N3150" s="1470">
        <v>2.092868794816992</v>
      </c>
      <c r="O3150" s="1470"/>
    </row>
    <row r="3151" spans="11:15">
      <c r="K3151" s="1466">
        <v>45208</v>
      </c>
      <c r="L3151" s="1470" t="s">
        <v>2127</v>
      </c>
      <c r="M3151" s="851">
        <v>5.0788E-2</v>
      </c>
      <c r="N3151" s="1470">
        <v>2.0939317210205037</v>
      </c>
      <c r="O3151" s="1470"/>
    </row>
    <row r="3152" spans="11:15">
      <c r="K3152" s="1466">
        <v>45209</v>
      </c>
      <c r="L3152" s="1470" t="s">
        <v>2127</v>
      </c>
      <c r="M3152" s="851">
        <v>5.0788E-2</v>
      </c>
      <c r="N3152" s="1470">
        <v>2.0949951870629757</v>
      </c>
      <c r="O3152" s="1470"/>
    </row>
    <row r="3153" spans="11:15">
      <c r="K3153" s="1466">
        <v>45210</v>
      </c>
      <c r="L3153" s="1470" t="s">
        <v>2127</v>
      </c>
      <c r="M3153" s="851">
        <v>5.0788E-2</v>
      </c>
      <c r="N3153" s="1470">
        <v>2.0960591932185815</v>
      </c>
      <c r="O3153" s="1470"/>
    </row>
    <row r="3154" spans="11:15">
      <c r="K3154" s="1466">
        <v>45211</v>
      </c>
      <c r="L3154" s="1470"/>
      <c r="M3154" s="851">
        <v>0</v>
      </c>
      <c r="N3154" s="1470">
        <v>2.0960591932185815</v>
      </c>
      <c r="O3154" s="1470"/>
    </row>
    <row r="3155" spans="11:15">
      <c r="K3155" s="1466">
        <v>45212</v>
      </c>
      <c r="L3155" s="1470" t="s">
        <v>2127</v>
      </c>
      <c r="M3155" s="851">
        <v>5.0788E-2</v>
      </c>
      <c r="N3155" s="1470">
        <v>2.0971237397616336</v>
      </c>
      <c r="O3155" s="1470"/>
    </row>
    <row r="3156" spans="11:15">
      <c r="K3156" s="1466">
        <v>45213</v>
      </c>
      <c r="L3156" s="1470"/>
      <c r="M3156" s="851">
        <v>0</v>
      </c>
      <c r="N3156" s="1470">
        <v>2.0971237397616336</v>
      </c>
      <c r="O3156" s="1470"/>
    </row>
    <row r="3157" spans="11:15">
      <c r="K3157" s="1466">
        <v>45214</v>
      </c>
      <c r="L3157" s="1470"/>
      <c r="M3157" s="851">
        <v>0</v>
      </c>
      <c r="N3157" s="1470">
        <v>2.0971237397616336</v>
      </c>
      <c r="O3157" s="1470"/>
    </row>
    <row r="3158" spans="11:15">
      <c r="K3158" s="1466">
        <v>45215</v>
      </c>
      <c r="L3158" s="1470" t="s">
        <v>2127</v>
      </c>
      <c r="M3158" s="851">
        <v>5.0788E-2</v>
      </c>
      <c r="N3158" s="1470">
        <v>2.0981888269665836</v>
      </c>
      <c r="O3158" s="1470"/>
    </row>
    <row r="3159" spans="11:15">
      <c r="K3159" s="1466">
        <v>45216</v>
      </c>
      <c r="L3159" s="1470" t="s">
        <v>2127</v>
      </c>
      <c r="M3159" s="851">
        <v>5.0788E-2</v>
      </c>
      <c r="N3159" s="1470">
        <v>2.0992544551080234</v>
      </c>
      <c r="O3159" s="1470"/>
    </row>
    <row r="3160" spans="11:15">
      <c r="K3160" s="1466">
        <v>45217</v>
      </c>
      <c r="L3160" s="1470" t="s">
        <v>2127</v>
      </c>
      <c r="M3160" s="851">
        <v>5.0788E-2</v>
      </c>
      <c r="N3160" s="1470">
        <v>2.1003206244606836</v>
      </c>
      <c r="O3160" s="1470"/>
    </row>
    <row r="3161" spans="11:15">
      <c r="K3161" s="1466">
        <v>45218</v>
      </c>
      <c r="L3161" s="1470" t="s">
        <v>2127</v>
      </c>
      <c r="M3161" s="851">
        <v>5.0788E-2</v>
      </c>
      <c r="N3161" s="1470">
        <v>2.1013873352994348</v>
      </c>
      <c r="O3161" s="1470"/>
    </row>
    <row r="3162" spans="11:15">
      <c r="K3162" s="1466">
        <v>45219</v>
      </c>
      <c r="L3162" s="1470" t="s">
        <v>2127</v>
      </c>
      <c r="M3162" s="851">
        <v>5.0788E-2</v>
      </c>
      <c r="N3162" s="1470">
        <v>2.1024545878992869</v>
      </c>
      <c r="O3162" s="1470"/>
    </row>
    <row r="3163" spans="11:15">
      <c r="K3163" s="1466">
        <v>45220</v>
      </c>
      <c r="L3163" s="1470"/>
      <c r="M3163" s="851">
        <v>0</v>
      </c>
      <c r="N3163" s="1470">
        <v>2.1024545878992869</v>
      </c>
      <c r="O3163" s="1470"/>
    </row>
    <row r="3164" spans="11:15">
      <c r="K3164" s="1466">
        <v>45221</v>
      </c>
      <c r="L3164" s="1470"/>
      <c r="M3164" s="851">
        <v>0</v>
      </c>
      <c r="N3164" s="1470">
        <v>2.1024545878992869</v>
      </c>
      <c r="O3164" s="1470"/>
    </row>
    <row r="3165" spans="11:15">
      <c r="K3165" s="1466">
        <v>45222</v>
      </c>
      <c r="L3165" s="1470" t="s">
        <v>2127</v>
      </c>
      <c r="M3165" s="851">
        <v>5.0788E-2</v>
      </c>
      <c r="N3165" s="1470">
        <v>2.103522382535389</v>
      </c>
      <c r="O3165" s="1470"/>
    </row>
    <row r="3166" spans="11:15">
      <c r="K3166" s="1466">
        <v>45223</v>
      </c>
      <c r="L3166" s="1470" t="s">
        <v>2127</v>
      </c>
      <c r="M3166" s="851">
        <v>5.0788E-2</v>
      </c>
      <c r="N3166" s="1470">
        <v>2.1045907194830313</v>
      </c>
      <c r="O3166" s="1470"/>
    </row>
    <row r="3167" spans="11:15">
      <c r="K3167" s="1466">
        <v>45224</v>
      </c>
      <c r="L3167" s="1470" t="s">
        <v>2127</v>
      </c>
      <c r="M3167" s="851">
        <v>5.0788E-2</v>
      </c>
      <c r="N3167" s="1470">
        <v>2.1056595990176423</v>
      </c>
      <c r="O3167" s="1470"/>
    </row>
    <row r="3168" spans="11:15">
      <c r="K3168" s="1466">
        <v>45225</v>
      </c>
      <c r="L3168" s="1470" t="s">
        <v>2127</v>
      </c>
      <c r="M3168" s="851">
        <v>5.0788E-2</v>
      </c>
      <c r="N3168" s="1470">
        <v>2.1067290214147913</v>
      </c>
      <c r="O3168" s="1470"/>
    </row>
    <row r="3169" spans="11:15">
      <c r="K3169" s="1466">
        <v>45226</v>
      </c>
      <c r="L3169" s="1470" t="s">
        <v>2127</v>
      </c>
      <c r="M3169" s="851">
        <v>5.0788E-2</v>
      </c>
      <c r="N3169" s="1470">
        <v>2.1077989869501876</v>
      </c>
      <c r="O3169" s="1470"/>
    </row>
    <row r="3170" spans="11:15">
      <c r="K3170" s="1466">
        <v>45227</v>
      </c>
      <c r="L3170" s="1470"/>
      <c r="M3170" s="851">
        <v>0</v>
      </c>
      <c r="N3170" s="1470">
        <v>2.1077989869501876</v>
      </c>
      <c r="O3170" s="1470"/>
    </row>
    <row r="3171" spans="11:15">
      <c r="K3171" s="1466">
        <v>45228</v>
      </c>
      <c r="L3171" s="1470"/>
      <c r="M3171" s="851">
        <v>0</v>
      </c>
      <c r="N3171" s="1470">
        <v>2.1077989869501876</v>
      </c>
      <c r="O3171" s="1470"/>
    </row>
    <row r="3172" spans="11:15">
      <c r="K3172" s="1466">
        <v>45229</v>
      </c>
      <c r="L3172" s="1470" t="s">
        <v>2127</v>
      </c>
      <c r="M3172" s="851">
        <v>5.0788E-2</v>
      </c>
      <c r="N3172" s="1470">
        <v>2.1088694958996799</v>
      </c>
      <c r="O3172" s="1470"/>
    </row>
    <row r="3173" spans="11:15">
      <c r="K3173" s="1466">
        <v>45230</v>
      </c>
      <c r="L3173" s="1470" t="s">
        <v>2127</v>
      </c>
      <c r="M3173" s="851">
        <v>5.0788E-2</v>
      </c>
      <c r="N3173" s="1470">
        <v>2.1099405485392575</v>
      </c>
      <c r="O3173" s="1470"/>
    </row>
    <row r="3174" spans="11:15">
      <c r="K3174" s="1466">
        <v>45231</v>
      </c>
      <c r="L3174" s="1470" t="s">
        <v>2127</v>
      </c>
      <c r="M3174" s="851">
        <v>5.0788E-2</v>
      </c>
      <c r="N3174" s="1470">
        <v>2.1110121451450499</v>
      </c>
      <c r="O3174" s="1470"/>
    </row>
    <row r="3175" spans="11:15">
      <c r="K3175" s="1466">
        <v>45232</v>
      </c>
      <c r="L3175" s="1470"/>
      <c r="M3175" s="851">
        <v>0</v>
      </c>
      <c r="N3175" s="1470">
        <v>2.1110121451450499</v>
      </c>
      <c r="O3175" s="1470"/>
    </row>
    <row r="3176" spans="11:15">
      <c r="K3176" s="1466">
        <v>45233</v>
      </c>
      <c r="L3176" s="1470" t="s">
        <v>2127</v>
      </c>
      <c r="M3176" s="851">
        <v>5.0788E-2</v>
      </c>
      <c r="N3176" s="1470">
        <v>2.1120842859933262</v>
      </c>
      <c r="O3176" s="1470"/>
    </row>
    <row r="3177" spans="11:15">
      <c r="K3177" s="1466">
        <v>45234</v>
      </c>
      <c r="L3177" s="1470"/>
      <c r="M3177" s="851">
        <v>0</v>
      </c>
      <c r="N3177" s="1470">
        <v>2.1120842859933262</v>
      </c>
      <c r="O3177" s="1470"/>
    </row>
    <row r="3178" spans="11:15">
      <c r="K3178" s="1466">
        <v>45235</v>
      </c>
      <c r="L3178" s="1470"/>
      <c r="M3178" s="851">
        <v>0</v>
      </c>
      <c r="N3178" s="1470">
        <v>2.1120842859933262</v>
      </c>
      <c r="O3178" s="1470"/>
    </row>
    <row r="3179" spans="11:15">
      <c r="K3179" s="1466">
        <v>45236</v>
      </c>
      <c r="L3179" s="1470" t="s">
        <v>2127</v>
      </c>
      <c r="M3179" s="851">
        <v>5.0788E-2</v>
      </c>
      <c r="N3179" s="1470">
        <v>2.1131569713604965</v>
      </c>
      <c r="O3179" s="1470"/>
    </row>
    <row r="3180" spans="11:15">
      <c r="K3180" s="1466">
        <v>45237</v>
      </c>
      <c r="L3180" s="1470" t="s">
        <v>2127</v>
      </c>
      <c r="M3180" s="851">
        <v>5.0788E-2</v>
      </c>
      <c r="N3180" s="1470">
        <v>2.1142302015231111</v>
      </c>
      <c r="O3180" s="1470"/>
    </row>
    <row r="3181" spans="11:15">
      <c r="K3181" s="1466">
        <v>45238</v>
      </c>
      <c r="L3181" s="1470" t="s">
        <v>2127</v>
      </c>
      <c r="M3181" s="851">
        <v>5.0788E-2</v>
      </c>
      <c r="N3181" s="1470">
        <v>2.1153039767578607</v>
      </c>
      <c r="O3181" s="1470"/>
    </row>
    <row r="3182" spans="11:15">
      <c r="K3182" s="1466">
        <v>45239</v>
      </c>
      <c r="L3182" s="1470" t="s">
        <v>2127</v>
      </c>
      <c r="M3182" s="851">
        <v>5.0788E-2</v>
      </c>
      <c r="N3182" s="1470">
        <v>2.1163782973415768</v>
      </c>
      <c r="O3182" s="1470"/>
    </row>
    <row r="3183" spans="11:15">
      <c r="K3183" s="1466">
        <v>45240</v>
      </c>
      <c r="L3183" s="1470" t="s">
        <v>2127</v>
      </c>
      <c r="M3183" s="851">
        <v>5.0788E-2</v>
      </c>
      <c r="N3183" s="1470">
        <v>2.1174531635512306</v>
      </c>
      <c r="O3183" s="1470"/>
    </row>
    <row r="3184" spans="11:15">
      <c r="K3184" s="1466">
        <v>45241</v>
      </c>
      <c r="L3184" s="1470"/>
      <c r="M3184" s="851">
        <v>0</v>
      </c>
      <c r="N3184" s="1470">
        <v>2.1174531635512306</v>
      </c>
      <c r="O3184" s="1470"/>
    </row>
    <row r="3185" spans="11:15">
      <c r="K3185" s="1466">
        <v>45242</v>
      </c>
      <c r="L3185" s="1470"/>
      <c r="M3185" s="851">
        <v>0</v>
      </c>
      <c r="N3185" s="1470">
        <v>2.1174531635512306</v>
      </c>
      <c r="O3185" s="1470"/>
    </row>
    <row r="3186" spans="11:15">
      <c r="K3186" s="1466">
        <v>45243</v>
      </c>
      <c r="L3186" s="1470" t="s">
        <v>2127</v>
      </c>
      <c r="M3186" s="851">
        <v>5.0788E-2</v>
      </c>
      <c r="N3186" s="1470">
        <v>2.1185285756639352</v>
      </c>
      <c r="O3186" s="1470"/>
    </row>
    <row r="3187" spans="11:15">
      <c r="K3187" s="1466">
        <v>45244</v>
      </c>
      <c r="L3187" s="1470" t="s">
        <v>2127</v>
      </c>
      <c r="M3187" s="851">
        <v>5.0788E-2</v>
      </c>
      <c r="N3187" s="1470">
        <v>2.1196045339569434</v>
      </c>
      <c r="O3187" s="1470"/>
    </row>
    <row r="3188" spans="11:15">
      <c r="K3188" s="1466">
        <v>45245</v>
      </c>
      <c r="L3188" s="1470"/>
      <c r="M3188" s="851">
        <v>0</v>
      </c>
      <c r="N3188" s="1470">
        <v>2.1196045339569434</v>
      </c>
      <c r="O3188" s="1470"/>
    </row>
    <row r="3189" spans="11:15">
      <c r="K3189" s="1466">
        <v>45246</v>
      </c>
      <c r="L3189" s="1470" t="s">
        <v>2127</v>
      </c>
      <c r="M3189" s="851">
        <v>5.0788E-2</v>
      </c>
      <c r="N3189" s="1470">
        <v>2.1206810387076493</v>
      </c>
      <c r="O3189" s="1470"/>
    </row>
    <row r="3190" spans="11:15">
      <c r="K3190" s="1466">
        <v>45247</v>
      </c>
      <c r="L3190" s="1470" t="s">
        <v>2127</v>
      </c>
      <c r="M3190" s="851">
        <v>5.0788E-2</v>
      </c>
      <c r="N3190" s="1470">
        <v>2.1217580901935884</v>
      </c>
      <c r="O3190" s="1470"/>
    </row>
    <row r="3191" spans="11:15">
      <c r="K3191" s="1466">
        <v>45248</v>
      </c>
      <c r="L3191" s="1470"/>
      <c r="M3191" s="851">
        <v>0</v>
      </c>
      <c r="N3191" s="1470">
        <v>2.1217580901935884</v>
      </c>
      <c r="O3191" s="1470"/>
    </row>
    <row r="3192" spans="11:15">
      <c r="K3192" s="1466">
        <v>45249</v>
      </c>
      <c r="L3192" s="1470"/>
      <c r="M3192" s="851">
        <v>0</v>
      </c>
      <c r="N3192" s="1470">
        <v>2.1217580901935884</v>
      </c>
      <c r="O3192" s="1470"/>
    </row>
    <row r="3193" spans="11:15">
      <c r="K3193" s="1466">
        <v>45250</v>
      </c>
      <c r="L3193" s="1470" t="s">
        <v>2127</v>
      </c>
      <c r="M3193" s="851">
        <v>5.0788E-2</v>
      </c>
      <c r="N3193" s="1470">
        <v>2.1228356886924358</v>
      </c>
      <c r="O3193" s="1470"/>
    </row>
    <row r="3194" spans="11:15">
      <c r="K3194" s="1466">
        <v>45251</v>
      </c>
      <c r="L3194" s="1470" t="s">
        <v>2127</v>
      </c>
      <c r="M3194" s="851">
        <v>5.0788E-2</v>
      </c>
      <c r="N3194" s="1470">
        <v>2.1239138344820088</v>
      </c>
      <c r="O3194" s="1470"/>
    </row>
    <row r="3195" spans="11:15">
      <c r="K3195" s="1466">
        <v>45252</v>
      </c>
      <c r="L3195" s="1470" t="s">
        <v>2127</v>
      </c>
      <c r="M3195" s="851">
        <v>5.0788E-2</v>
      </c>
      <c r="N3195" s="1470">
        <v>2.1249925278402655</v>
      </c>
      <c r="O3195" s="1470"/>
    </row>
    <row r="3196" spans="11:15">
      <c r="K3196" s="1466">
        <v>45253</v>
      </c>
      <c r="L3196" s="1470" t="s">
        <v>2127</v>
      </c>
      <c r="M3196" s="851">
        <v>5.0788E-2</v>
      </c>
      <c r="N3196" s="1470">
        <v>2.1260717690453048</v>
      </c>
      <c r="O3196" s="1470"/>
    </row>
    <row r="3197" spans="11:15">
      <c r="K3197" s="1466">
        <v>45254</v>
      </c>
      <c r="L3197" s="1470" t="s">
        <v>2127</v>
      </c>
      <c r="M3197" s="851">
        <v>5.0788E-2</v>
      </c>
      <c r="N3197" s="1470">
        <v>2.1271515583753677</v>
      </c>
      <c r="O3197" s="1470"/>
    </row>
    <row r="3198" spans="11:15">
      <c r="K3198" s="1466">
        <v>45255</v>
      </c>
      <c r="L3198" s="1470"/>
      <c r="M3198" s="851">
        <v>0</v>
      </c>
      <c r="N3198" s="1470">
        <v>2.1271515583753677</v>
      </c>
      <c r="O3198" s="1470"/>
    </row>
    <row r="3199" spans="11:15">
      <c r="K3199" s="1466">
        <v>45256</v>
      </c>
      <c r="L3199" s="1470"/>
      <c r="M3199" s="851">
        <v>0</v>
      </c>
      <c r="N3199" s="1470">
        <v>2.1271515583753677</v>
      </c>
      <c r="O3199" s="1470"/>
    </row>
    <row r="3200" spans="11:15">
      <c r="K3200" s="1466">
        <v>45257</v>
      </c>
      <c r="L3200" s="1470" t="s">
        <v>2127</v>
      </c>
      <c r="M3200" s="851">
        <v>5.0788E-2</v>
      </c>
      <c r="N3200" s="1470">
        <v>2.1282318961088356</v>
      </c>
      <c r="O3200" s="1470"/>
    </row>
    <row r="3201" spans="11:15">
      <c r="K3201" s="1466">
        <v>45258</v>
      </c>
      <c r="L3201" s="1470" t="s">
        <v>2127</v>
      </c>
      <c r="M3201" s="851">
        <v>5.0788E-2</v>
      </c>
      <c r="N3201" s="1470">
        <v>2.1293127825242313</v>
      </c>
      <c r="O3201" s="1470"/>
    </row>
    <row r="3202" spans="11:15">
      <c r="K3202" s="1466">
        <v>45259</v>
      </c>
      <c r="L3202" s="1470" t="s">
        <v>2127</v>
      </c>
      <c r="M3202" s="851">
        <v>5.0788E-2</v>
      </c>
      <c r="N3202" s="1470">
        <v>2.1303942179002195</v>
      </c>
      <c r="O3202" s="1470"/>
    </row>
    <row r="3203" spans="11:15">
      <c r="K3203" s="1466">
        <v>45260</v>
      </c>
      <c r="L3203" s="1470" t="s">
        <v>2127</v>
      </c>
      <c r="M3203" s="851">
        <v>5.0788E-2</v>
      </c>
      <c r="N3203" s="1470">
        <v>2.1314762025156067</v>
      </c>
      <c r="O3203" s="1470"/>
    </row>
    <row r="3204" spans="11:15">
      <c r="K3204" s="1466">
        <v>45261</v>
      </c>
      <c r="L3204" s="1470" t="s">
        <v>2127</v>
      </c>
      <c r="M3204" s="851">
        <v>5.0788E-2</v>
      </c>
      <c r="N3204" s="1470">
        <v>2.1325587366493401</v>
      </c>
      <c r="O3204" s="1470"/>
    </row>
    <row r="3205" spans="11:15">
      <c r="K3205" s="1466">
        <v>45262</v>
      </c>
      <c r="L3205" s="1470"/>
      <c r="M3205" s="851">
        <v>0</v>
      </c>
      <c r="N3205" s="1470">
        <v>2.1325587366493401</v>
      </c>
      <c r="O3205" s="1470"/>
    </row>
    <row r="3206" spans="11:15">
      <c r="K3206" s="1466">
        <v>45263</v>
      </c>
      <c r="L3206" s="1470"/>
      <c r="M3206" s="851">
        <v>0</v>
      </c>
      <c r="N3206" s="1470">
        <v>2.1325587366493401</v>
      </c>
      <c r="O3206" s="1470"/>
    </row>
    <row r="3207" spans="11:15">
      <c r="K3207" s="1466">
        <v>45264</v>
      </c>
      <c r="L3207" s="1470" t="s">
        <v>2127</v>
      </c>
      <c r="M3207" s="851">
        <v>5.0788E-2</v>
      </c>
      <c r="N3207" s="1470">
        <v>2.1336418205805097</v>
      </c>
      <c r="O3207" s="1470"/>
    </row>
    <row r="3208" spans="11:15">
      <c r="K3208" s="1466">
        <v>45265</v>
      </c>
      <c r="L3208" s="1470" t="s">
        <v>2127</v>
      </c>
      <c r="M3208" s="851">
        <v>5.0788E-2</v>
      </c>
      <c r="N3208" s="1470">
        <v>2.1347254545883461</v>
      </c>
      <c r="O3208" s="1470"/>
    </row>
    <row r="3209" spans="11:15">
      <c r="K3209" s="1466">
        <v>45266</v>
      </c>
      <c r="L3209" s="1470" t="s">
        <v>2127</v>
      </c>
      <c r="M3209" s="851">
        <v>5.0788E-2</v>
      </c>
      <c r="N3209" s="1470">
        <v>2.1358096389522223</v>
      </c>
      <c r="O3209" s="1470"/>
    </row>
    <row r="3210" spans="11:15">
      <c r="K3210" s="1466">
        <v>45267</v>
      </c>
      <c r="L3210" s="1470" t="s">
        <v>2127</v>
      </c>
      <c r="M3210" s="851">
        <v>5.0788E-2</v>
      </c>
      <c r="N3210" s="1470">
        <v>2.1368943739516535</v>
      </c>
      <c r="O3210" s="1470"/>
    </row>
    <row r="3211" spans="11:15">
      <c r="K3211" s="1466">
        <v>45268</v>
      </c>
      <c r="L3211" s="1470" t="s">
        <v>2127</v>
      </c>
      <c r="M3211" s="851">
        <v>5.0788E-2</v>
      </c>
      <c r="N3211" s="1470">
        <v>2.1379796598662959</v>
      </c>
      <c r="O3211" s="1470"/>
    </row>
    <row r="3212" spans="11:15">
      <c r="K3212" s="1466">
        <v>45269</v>
      </c>
      <c r="L3212" s="1470"/>
      <c r="M3212" s="851">
        <v>0</v>
      </c>
      <c r="N3212" s="1470">
        <v>2.1379796598662959</v>
      </c>
      <c r="O3212" s="1470"/>
    </row>
    <row r="3213" spans="11:15">
      <c r="K3213" s="1466">
        <v>45270</v>
      </c>
      <c r="L3213" s="1470"/>
      <c r="M3213" s="851">
        <v>0</v>
      </c>
      <c r="N3213" s="1470">
        <v>2.1379796598662959</v>
      </c>
      <c r="O3213" s="1470"/>
    </row>
    <row r="3214" spans="11:15">
      <c r="K3214" s="1466">
        <v>45271</v>
      </c>
      <c r="L3214" s="1470" t="s">
        <v>2127</v>
      </c>
      <c r="M3214" s="851">
        <v>5.0788E-2</v>
      </c>
      <c r="N3214" s="1470">
        <v>2.1390654969759488</v>
      </c>
      <c r="O3214" s="1470"/>
    </row>
    <row r="3215" spans="11:15">
      <c r="K3215" s="1466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66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66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66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66">
        <v>45276</v>
      </c>
      <c r="M3219" s="1">
        <v>0</v>
      </c>
      <c r="N3219" s="1">
        <v>2.1434143629656153</v>
      </c>
    </row>
    <row r="3220" spans="11:14">
      <c r="K3220" s="1466">
        <v>45277</v>
      </c>
      <c r="M3220" s="1">
        <v>0</v>
      </c>
      <c r="N3220" s="1">
        <v>2.1434143629656153</v>
      </c>
    </row>
    <row r="3221" spans="11:14">
      <c r="K3221" s="1466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66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66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66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66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66">
        <v>45283</v>
      </c>
      <c r="M3226" s="1">
        <v>0</v>
      </c>
      <c r="N3226" s="1">
        <v>2.1488628809754942</v>
      </c>
    </row>
    <row r="3227" spans="11:14">
      <c r="K3227" s="1466">
        <v>45284</v>
      </c>
      <c r="M3227" s="1">
        <v>0</v>
      </c>
      <c r="N3227" s="1">
        <v>2.1488628809754942</v>
      </c>
    </row>
    <row r="3228" spans="11:14">
      <c r="K3228" s="1466">
        <v>45285</v>
      </c>
      <c r="M3228" s="1">
        <v>0</v>
      </c>
      <c r="N3228" s="1">
        <v>2.1488628809754942</v>
      </c>
    </row>
    <row r="3229" spans="11:14">
      <c r="K3229" s="1466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66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66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66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66">
        <v>45290</v>
      </c>
      <c r="M3233" s="1">
        <v>0</v>
      </c>
      <c r="N3233" s="1">
        <v>2.1532316657147845</v>
      </c>
    </row>
    <row r="3234" spans="11:14">
      <c r="K3234" s="1466">
        <v>45291</v>
      </c>
      <c r="M3234" s="1">
        <v>0</v>
      </c>
      <c r="N3234" s="1">
        <v>2.1532316657147845</v>
      </c>
    </row>
    <row r="3235" spans="11:14">
      <c r="K3235" s="1466">
        <v>45292</v>
      </c>
      <c r="M3235" s="1">
        <v>0</v>
      </c>
      <c r="N3235" s="1">
        <v>2.1532316657147845</v>
      </c>
    </row>
    <row r="3236" spans="11:14">
      <c r="K3236" s="1466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66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66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66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66">
        <v>45297</v>
      </c>
      <c r="M3240" s="1">
        <v>0</v>
      </c>
      <c r="N3240" s="1">
        <v>2.1576093324912993</v>
      </c>
    </row>
    <row r="3241" spans="11:14">
      <c r="K3241" s="1466">
        <v>45298</v>
      </c>
      <c r="M3241" s="1">
        <v>0</v>
      </c>
      <c r="N3241" s="1">
        <v>2.1576093324912993</v>
      </c>
    </row>
    <row r="3242" spans="11:14">
      <c r="K3242" s="1466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66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66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66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66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66">
        <v>45304</v>
      </c>
      <c r="M3247" s="1">
        <v>0</v>
      </c>
      <c r="N3247" s="1">
        <v>2.1630939338401936</v>
      </c>
    </row>
    <row r="3248" spans="11:14">
      <c r="K3248" s="1466">
        <v>45305</v>
      </c>
      <c r="M3248" s="1">
        <v>0</v>
      </c>
      <c r="N3248" s="1">
        <v>2.1630939338401936</v>
      </c>
    </row>
    <row r="3249" spans="11:14">
      <c r="K3249" s="1466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66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66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66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66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66">
        <v>45311</v>
      </c>
      <c r="M3254" s="1">
        <v>0</v>
      </c>
      <c r="N3254" s="1">
        <v>2.1685924769400353</v>
      </c>
    </row>
    <row r="3255" spans="11:14">
      <c r="K3255" s="1466">
        <v>45312</v>
      </c>
      <c r="M3255" s="1">
        <v>0</v>
      </c>
      <c r="N3255" s="1">
        <v>2.1685924769400353</v>
      </c>
    </row>
    <row r="3256" spans="11:14">
      <c r="K3256" s="1466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66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66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66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66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66">
        <v>45318</v>
      </c>
      <c r="M3261" s="1">
        <v>0</v>
      </c>
      <c r="N3261" s="1">
        <v>2.1741049972304873</v>
      </c>
    </row>
    <row r="3262" spans="11:14">
      <c r="K3262" s="1466">
        <v>45319</v>
      </c>
      <c r="M3262" s="1">
        <v>0</v>
      </c>
      <c r="N3262" s="1">
        <v>2.1741049972304873</v>
      </c>
    </row>
    <row r="3263" spans="11:14">
      <c r="K3263" s="1466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66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66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66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66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66">
        <v>45325</v>
      </c>
      <c r="M3268" s="1">
        <v>0</v>
      </c>
      <c r="N3268" s="1">
        <v>2.1796315302412985</v>
      </c>
    </row>
    <row r="3269" spans="11:14">
      <c r="K3269" s="1466">
        <v>45326</v>
      </c>
      <c r="M3269" s="1">
        <v>0</v>
      </c>
      <c r="N3269" s="1">
        <v>2.1796315302412985</v>
      </c>
    </row>
    <row r="3270" spans="11:14">
      <c r="K3270" s="1466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66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66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66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66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66">
        <v>45332</v>
      </c>
      <c r="M3275" s="1">
        <v>0</v>
      </c>
      <c r="N3275" s="1">
        <v>2.1851721115925344</v>
      </c>
    </row>
    <row r="3276" spans="11:14">
      <c r="K3276" s="1466">
        <v>45333</v>
      </c>
      <c r="M3276" s="1">
        <v>0</v>
      </c>
      <c r="N3276" s="1">
        <v>2.1851721115925344</v>
      </c>
    </row>
    <row r="3277" spans="11:14">
      <c r="K3277" s="1466">
        <v>45334</v>
      </c>
      <c r="M3277" s="1">
        <v>0</v>
      </c>
      <c r="N3277" s="1">
        <v>2.1851721115925344</v>
      </c>
    </row>
    <row r="3278" spans="11:14">
      <c r="K3278" s="1466">
        <v>45335</v>
      </c>
      <c r="M3278" s="1">
        <v>0</v>
      </c>
      <c r="N3278" s="1">
        <v>2.1851721115925344</v>
      </c>
    </row>
    <row r="3279" spans="11:14">
      <c r="K3279" s="1466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66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66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66">
        <v>45339</v>
      </c>
      <c r="M3282" s="1">
        <v>0</v>
      </c>
      <c r="N3282" s="1">
        <v>2.1885032184585205</v>
      </c>
    </row>
    <row r="3283" spans="11:14">
      <c r="K3283" s="1466">
        <v>45340</v>
      </c>
      <c r="M3283" s="1">
        <v>0</v>
      </c>
      <c r="N3283" s="1">
        <v>2.1885032184585205</v>
      </c>
    </row>
    <row r="3284" spans="11:14">
      <c r="K3284" s="1466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66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66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66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66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66">
        <v>45346</v>
      </c>
      <c r="M3289" s="1">
        <v>0</v>
      </c>
      <c r="N3289" s="1">
        <v>2.194066351470259</v>
      </c>
    </row>
    <row r="3290" spans="11:14">
      <c r="K3290" s="1466">
        <v>45347</v>
      </c>
      <c r="M3290" s="1">
        <v>0</v>
      </c>
      <c r="N3290" s="1">
        <v>2.194066351470259</v>
      </c>
    </row>
    <row r="3291" spans="11:14">
      <c r="K3291" s="1466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66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66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66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66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66">
        <v>45353</v>
      </c>
      <c r="M3296" s="1">
        <v>0</v>
      </c>
      <c r="N3296" s="1">
        <v>2.1996436258589185</v>
      </c>
    </row>
    <row r="3297" spans="11:14">
      <c r="K3297" s="1466">
        <v>45354</v>
      </c>
      <c r="M3297" s="1">
        <v>0</v>
      </c>
      <c r="N3297" s="1">
        <v>2.1996436258589185</v>
      </c>
    </row>
    <row r="3298" spans="11:14">
      <c r="K3298" s="1466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66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66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66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66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66">
        <v>45360</v>
      </c>
      <c r="M3303" s="1">
        <v>0</v>
      </c>
      <c r="N3303" s="1">
        <v>2.2052350775716074</v>
      </c>
    </row>
    <row r="3304" spans="11:14">
      <c r="K3304" s="1466">
        <v>45361</v>
      </c>
      <c r="M3304" s="1">
        <v>0</v>
      </c>
      <c r="N3304" s="1">
        <v>2.2052350775716074</v>
      </c>
    </row>
    <row r="3305" spans="11:14">
      <c r="K3305" s="1466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66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66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66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66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66">
        <v>45367</v>
      </c>
      <c r="M3310" s="1">
        <v>0</v>
      </c>
      <c r="N3310" s="1">
        <v>2.21084074264681</v>
      </c>
    </row>
    <row r="3311" spans="11:14">
      <c r="K3311" s="1466">
        <v>45368</v>
      </c>
      <c r="M3311" s="1">
        <v>0</v>
      </c>
      <c r="N3311" s="1">
        <v>2.21084074264681</v>
      </c>
    </row>
    <row r="3312" spans="11:14">
      <c r="K3312" s="1466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66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66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66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66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66">
        <v>45374</v>
      </c>
      <c r="M3317" s="1">
        <v>0</v>
      </c>
      <c r="N3317" s="1">
        <v>2.2164606572146197</v>
      </c>
    </row>
    <row r="3318" spans="11:14">
      <c r="K3318" s="1466">
        <v>45375</v>
      </c>
      <c r="M3318" s="1">
        <v>0</v>
      </c>
      <c r="N3318" s="1">
        <v>2.2164606572146197</v>
      </c>
    </row>
    <row r="3319" spans="11:14">
      <c r="K3319" s="1466">
        <v>45376</v>
      </c>
      <c r="L3319" s="1" t="s">
        <v>2127</v>
      </c>
      <c r="M3319" s="1">
        <v>5.0788E-2</v>
      </c>
      <c r="N3319" s="1">
        <v>2.2175863532532061</v>
      </c>
    </row>
    <row r="3320" spans="11:14">
      <c r="K3320" s="1466"/>
    </row>
    <row r="3321" spans="11:14">
      <c r="K3321" s="1466"/>
    </row>
    <row r="3322" spans="11:14">
      <c r="K3322" s="1466"/>
    </row>
    <row r="3323" spans="11:14">
      <c r="K3323" s="1466"/>
    </row>
    <row r="3324" spans="11:14">
      <c r="K3324" s="1466"/>
    </row>
    <row r="3325" spans="11:14">
      <c r="K3325" s="1466"/>
    </row>
    <row r="3326" spans="11:14">
      <c r="K3326" s="1466"/>
    </row>
    <row r="3327" spans="11:14">
      <c r="K3327" s="1466"/>
    </row>
    <row r="3328" spans="11:14">
      <c r="K3328" s="1466"/>
    </row>
    <row r="3329" spans="11:11">
      <c r="K3329" s="1466"/>
    </row>
    <row r="3330" spans="11:11">
      <c r="K3330" s="1466"/>
    </row>
    <row r="3331" spans="11:11">
      <c r="K3331" s="1466"/>
    </row>
    <row r="3332" spans="11:11">
      <c r="K3332" s="1466"/>
    </row>
    <row r="3333" spans="11:11">
      <c r="K3333" s="1466"/>
    </row>
    <row r="3334" spans="11:11">
      <c r="K3334" s="1466"/>
    </row>
    <row r="3335" spans="11:11">
      <c r="K3335" s="1466"/>
    </row>
    <row r="3336" spans="11:11">
      <c r="K3336" s="1466"/>
    </row>
    <row r="3337" spans="11:11">
      <c r="K3337" s="1466"/>
    </row>
    <row r="3338" spans="11:11">
      <c r="K3338" s="1466"/>
    </row>
    <row r="3339" spans="11:11">
      <c r="K3339" s="1466"/>
    </row>
    <row r="3340" spans="11:11">
      <c r="K3340" s="1466"/>
    </row>
    <row r="3341" spans="11:11">
      <c r="K3341" s="1466"/>
    </row>
    <row r="3342" spans="11:11">
      <c r="K3342" s="1466"/>
    </row>
    <row r="3343" spans="11:11">
      <c r="K3343" s="1466"/>
    </row>
    <row r="3344" spans="11:11">
      <c r="K3344" s="1466"/>
    </row>
    <row r="3345" spans="11:11">
      <c r="K3345" s="1466"/>
    </row>
    <row r="3346" spans="11:11">
      <c r="K3346" s="1466"/>
    </row>
    <row r="3347" spans="11:11">
      <c r="K3347" s="1466"/>
    </row>
    <row r="3348" spans="11:11">
      <c r="K3348" s="1466"/>
    </row>
    <row r="3349" spans="11:11">
      <c r="K3349" s="1466"/>
    </row>
    <row r="3350" spans="11:11">
      <c r="K3350" s="1466"/>
    </row>
    <row r="3351" spans="11:11">
      <c r="K3351" s="1466"/>
    </row>
    <row r="3352" spans="11:11">
      <c r="K3352" s="1466"/>
    </row>
    <row r="3353" spans="11:11">
      <c r="K3353" s="1466"/>
    </row>
    <row r="3354" spans="11:11">
      <c r="K3354" s="1466"/>
    </row>
    <row r="3355" spans="11:11">
      <c r="K3355" s="1466"/>
    </row>
    <row r="3356" spans="11:11">
      <c r="K3356" s="1466"/>
    </row>
    <row r="3357" spans="11:11">
      <c r="K3357" s="1466"/>
    </row>
    <row r="3358" spans="11:11">
      <c r="K3358" s="1466"/>
    </row>
    <row r="3359" spans="11:11">
      <c r="K3359" s="1466"/>
    </row>
    <row r="3360" spans="11:11">
      <c r="K3360" s="1466"/>
    </row>
    <row r="3361" spans="11:11">
      <c r="K3361" s="1466"/>
    </row>
    <row r="3362" spans="11:11">
      <c r="K3362" s="1466"/>
    </row>
    <row r="3363" spans="11:11">
      <c r="K3363" s="1466"/>
    </row>
    <row r="3364" spans="11:11">
      <c r="K3364" s="1466"/>
    </row>
    <row r="3365" spans="11:11">
      <c r="K3365" s="1466"/>
    </row>
    <row r="3366" spans="11:11">
      <c r="K3366" s="1466"/>
    </row>
    <row r="3367" spans="11:11">
      <c r="K3367" s="1466"/>
    </row>
    <row r="3368" spans="11:11">
      <c r="K3368" s="1466"/>
    </row>
    <row r="3369" spans="11:11">
      <c r="K3369" s="1466"/>
    </row>
    <row r="3370" spans="11:11">
      <c r="K3370" s="1466"/>
    </row>
    <row r="3371" spans="11:11">
      <c r="K3371" s="1466"/>
    </row>
    <row r="3372" spans="11:11">
      <c r="K3372" s="1466"/>
    </row>
    <row r="3373" spans="11:11">
      <c r="K3373" s="1466"/>
    </row>
    <row r="3374" spans="11:11">
      <c r="K3374" s="1466"/>
    </row>
    <row r="3375" spans="11:11">
      <c r="K3375" s="1466"/>
    </row>
    <row r="3376" spans="11:11">
      <c r="K3376" s="1466"/>
    </row>
    <row r="3377" spans="11:11">
      <c r="K3377" s="1466"/>
    </row>
    <row r="3378" spans="11:11">
      <c r="K3378" s="1466"/>
    </row>
    <row r="3379" spans="11:11">
      <c r="K3379" s="1466"/>
    </row>
    <row r="3380" spans="11:11">
      <c r="K3380" s="1466"/>
    </row>
    <row r="3381" spans="11:11">
      <c r="K3381" s="1466"/>
    </row>
    <row r="3382" spans="11:11">
      <c r="K3382" s="1466"/>
    </row>
    <row r="3383" spans="11:11">
      <c r="K3383" s="1466"/>
    </row>
    <row r="3384" spans="11:11">
      <c r="K3384" s="1466"/>
    </row>
    <row r="3385" spans="11:11">
      <c r="K3385" s="1466"/>
    </row>
    <row r="3386" spans="11:11">
      <c r="K3386" s="1466"/>
    </row>
    <row r="3387" spans="11:11">
      <c r="K3387" s="1466"/>
    </row>
    <row r="3388" spans="11:11">
      <c r="K3388" s="1466"/>
    </row>
    <row r="3389" spans="11:11">
      <c r="K3389" s="1466"/>
    </row>
    <row r="3390" spans="11:11">
      <c r="K3390" s="1466"/>
    </row>
    <row r="3391" spans="11:11">
      <c r="K3391" s="1466"/>
    </row>
    <row r="3392" spans="11:11">
      <c r="K3392" s="1466"/>
    </row>
    <row r="3393" spans="11:11">
      <c r="K3393" s="1466"/>
    </row>
    <row r="3394" spans="11:11">
      <c r="K3394" s="1466"/>
    </row>
    <row r="3395" spans="11:11">
      <c r="K3395" s="1466"/>
    </row>
    <row r="3396" spans="11:11">
      <c r="K3396" s="1466"/>
    </row>
    <row r="3397" spans="11:11">
      <c r="K3397" s="1466"/>
    </row>
    <row r="3398" spans="11:11">
      <c r="K3398" s="1466"/>
    </row>
    <row r="3399" spans="11:11">
      <c r="K3399" s="1466"/>
    </row>
    <row r="3400" spans="11:11">
      <c r="K3400" s="1466"/>
    </row>
    <row r="3401" spans="11:11">
      <c r="K3401" s="1466"/>
    </row>
    <row r="3402" spans="11:11">
      <c r="K3402" s="1466"/>
    </row>
    <row r="3403" spans="11:11">
      <c r="K3403" s="1466"/>
    </row>
    <row r="3404" spans="11:11">
      <c r="K3404" s="1466"/>
    </row>
    <row r="3405" spans="11:11">
      <c r="K3405" s="1466"/>
    </row>
    <row r="3406" spans="11:11">
      <c r="K3406" s="1466"/>
    </row>
    <row r="3407" spans="11:11">
      <c r="K3407" s="1466"/>
    </row>
    <row r="3408" spans="11:11">
      <c r="K3408" s="1466"/>
    </row>
    <row r="3409" spans="11:11">
      <c r="K3409" s="1466"/>
    </row>
    <row r="3410" spans="11:11">
      <c r="K3410" s="1466"/>
    </row>
    <row r="3411" spans="11:11">
      <c r="K3411" s="1466"/>
    </row>
    <row r="3412" spans="11:11">
      <c r="K3412" s="1466"/>
    </row>
    <row r="3413" spans="11:11">
      <c r="K3413" s="1466"/>
    </row>
    <row r="3414" spans="11:11">
      <c r="K3414" s="1466"/>
    </row>
    <row r="3415" spans="11:11">
      <c r="K3415" s="1466"/>
    </row>
    <row r="3416" spans="11:11">
      <c r="K3416" s="1466"/>
    </row>
    <row r="3417" spans="11:11">
      <c r="K3417" s="1466"/>
    </row>
    <row r="3418" spans="11:11">
      <c r="K3418" s="1466"/>
    </row>
    <row r="3419" spans="11:11">
      <c r="K3419" s="1466"/>
    </row>
    <row r="3420" spans="11:11">
      <c r="K3420" s="1466"/>
    </row>
    <row r="3421" spans="11:11">
      <c r="K3421" s="1466"/>
    </row>
    <row r="3422" spans="11:11">
      <c r="K3422" s="1466"/>
    </row>
    <row r="3423" spans="11:11">
      <c r="K3423" s="1466"/>
    </row>
    <row r="3424" spans="11:11">
      <c r="K3424" s="1466"/>
    </row>
    <row r="3425" spans="11:11">
      <c r="K3425" s="1466"/>
    </row>
    <row r="3426" spans="11:11">
      <c r="K3426" s="1466"/>
    </row>
    <row r="3427" spans="11:11">
      <c r="K3427" s="1466"/>
    </row>
    <row r="3428" spans="11:11">
      <c r="K3428" s="1466"/>
    </row>
    <row r="3429" spans="11:11">
      <c r="K3429" s="1466"/>
    </row>
    <row r="3430" spans="11:11">
      <c r="K3430" s="1466"/>
    </row>
    <row r="3431" spans="11:11">
      <c r="K3431" s="1466"/>
    </row>
    <row r="3432" spans="11:11">
      <c r="K3432" s="1466"/>
    </row>
    <row r="3433" spans="11:11">
      <c r="K3433" s="1466"/>
    </row>
    <row r="3434" spans="11:11">
      <c r="K3434" s="1466"/>
    </row>
    <row r="3435" spans="11:11">
      <c r="K3435" s="1466"/>
    </row>
    <row r="3436" spans="11:11">
      <c r="K3436" s="1466"/>
    </row>
    <row r="3437" spans="11:11">
      <c r="K3437" s="1466"/>
    </row>
    <row r="3438" spans="11:11">
      <c r="K3438" s="1466"/>
    </row>
    <row r="3439" spans="11:11">
      <c r="K3439" s="1466"/>
    </row>
    <row r="3440" spans="11:11">
      <c r="K3440" s="1466"/>
    </row>
    <row r="3441" spans="11:11">
      <c r="K3441" s="1466"/>
    </row>
    <row r="3442" spans="11:11">
      <c r="K3442" s="1466"/>
    </row>
    <row r="3443" spans="11:11">
      <c r="K3443" s="1466"/>
    </row>
    <row r="3444" spans="11:11">
      <c r="K3444" s="1466"/>
    </row>
    <row r="3445" spans="11:11">
      <c r="K3445" s="1466"/>
    </row>
    <row r="3446" spans="11:11">
      <c r="K3446" s="1466"/>
    </row>
    <row r="3447" spans="11:11">
      <c r="K3447" s="1466"/>
    </row>
    <row r="3448" spans="11:11">
      <c r="K3448" s="1466"/>
    </row>
    <row r="3449" spans="11:11">
      <c r="K3449" s="1466"/>
    </row>
    <row r="3450" spans="11:11">
      <c r="K3450" s="1466"/>
    </row>
    <row r="3451" spans="11:11">
      <c r="K3451" s="1466"/>
    </row>
    <row r="3452" spans="11:11">
      <c r="K3452" s="1466"/>
    </row>
    <row r="3453" spans="11:11">
      <c r="K3453" s="1466"/>
    </row>
    <row r="3454" spans="11:11">
      <c r="K3454" s="1466"/>
    </row>
    <row r="3455" spans="11:11">
      <c r="K3455" s="1466"/>
    </row>
    <row r="3456" spans="11:11">
      <c r="K3456" s="1466"/>
    </row>
    <row r="3457" spans="11:11">
      <c r="K3457" s="1466"/>
    </row>
    <row r="3458" spans="11:11">
      <c r="K3458" s="1466"/>
    </row>
    <row r="3459" spans="11:11">
      <c r="K3459" s="1466"/>
    </row>
    <row r="3460" spans="11:11">
      <c r="K3460" s="1466"/>
    </row>
    <row r="3461" spans="11:11">
      <c r="K3461" s="1466"/>
    </row>
    <row r="3462" spans="11:11">
      <c r="K3462" s="1466"/>
    </row>
    <row r="3463" spans="11:11">
      <c r="K3463" s="1466"/>
    </row>
    <row r="3464" spans="11:11">
      <c r="K3464" s="1466"/>
    </row>
    <row r="3465" spans="11:11">
      <c r="K3465" s="1466"/>
    </row>
    <row r="3466" spans="11:11">
      <c r="K3466" s="1466"/>
    </row>
    <row r="3467" spans="11:11">
      <c r="K3467" s="1466"/>
    </row>
    <row r="3468" spans="11:11">
      <c r="K3468" s="1466"/>
    </row>
    <row r="3469" spans="11:11">
      <c r="K3469" s="1466"/>
    </row>
    <row r="3470" spans="11:11">
      <c r="K3470" s="1466"/>
    </row>
    <row r="3471" spans="11:11">
      <c r="K3471" s="1466"/>
    </row>
    <row r="3472" spans="11:11">
      <c r="K3472" s="1466"/>
    </row>
    <row r="3473" spans="11:11">
      <c r="K3473" s="1466"/>
    </row>
    <row r="3474" spans="11:11">
      <c r="K3474" s="1466"/>
    </row>
    <row r="3475" spans="11:11">
      <c r="K3475" s="1466"/>
    </row>
    <row r="3476" spans="11:11">
      <c r="K3476" s="1466"/>
    </row>
    <row r="3477" spans="11:11">
      <c r="K3477" s="1466"/>
    </row>
    <row r="3478" spans="11:11">
      <c r="K3478" s="1466"/>
    </row>
    <row r="3479" spans="11:11">
      <c r="K3479" s="1466"/>
    </row>
    <row r="3480" spans="11:11">
      <c r="K3480" s="1466"/>
    </row>
    <row r="3481" spans="11:11">
      <c r="K3481" s="1466"/>
    </row>
    <row r="3482" spans="11:11">
      <c r="K3482" s="1466"/>
    </row>
    <row r="3483" spans="11:11">
      <c r="K3483" s="1466"/>
    </row>
    <row r="3484" spans="11:11">
      <c r="K3484" s="1466"/>
    </row>
    <row r="3485" spans="11:11">
      <c r="K3485" s="1466"/>
    </row>
    <row r="3486" spans="11:11">
      <c r="K3486" s="1466"/>
    </row>
    <row r="3487" spans="11:11">
      <c r="K3487" s="1466"/>
    </row>
    <row r="3488" spans="11:11">
      <c r="K3488" s="1466"/>
    </row>
    <row r="3489" spans="11:11">
      <c r="K3489" s="1466"/>
    </row>
    <row r="3490" spans="11:11">
      <c r="K3490" s="1466"/>
    </row>
    <row r="3491" spans="11:11">
      <c r="K3491" s="1466"/>
    </row>
    <row r="3492" spans="11:11">
      <c r="K3492" s="1466"/>
    </row>
    <row r="3493" spans="11:11">
      <c r="K3493" s="1466"/>
    </row>
    <row r="3494" spans="11:11">
      <c r="K3494" s="1466"/>
    </row>
    <row r="3495" spans="11:11">
      <c r="K3495" s="1466"/>
    </row>
    <row r="3496" spans="11:11">
      <c r="K3496" s="1466"/>
    </row>
    <row r="3497" spans="11:11">
      <c r="K3497" s="1466"/>
    </row>
    <row r="3498" spans="11:11">
      <c r="K3498" s="1466"/>
    </row>
    <row r="3499" spans="11:11">
      <c r="K3499" s="1466"/>
    </row>
    <row r="3500" spans="11:11">
      <c r="K3500" s="1466"/>
    </row>
    <row r="3501" spans="11:11">
      <c r="K3501" s="1466"/>
    </row>
    <row r="3502" spans="11:11">
      <c r="K3502" s="1466"/>
    </row>
    <row r="3503" spans="11:11">
      <c r="K3503" s="1466"/>
    </row>
    <row r="3504" spans="11:11">
      <c r="K3504" s="1466"/>
    </row>
    <row r="3505" spans="11:11">
      <c r="K3505" s="1466"/>
    </row>
    <row r="3506" spans="11:11">
      <c r="K3506" s="1466"/>
    </row>
    <row r="3507" spans="11:11">
      <c r="K3507" s="1466"/>
    </row>
    <row r="3508" spans="11:11">
      <c r="K3508" s="1466"/>
    </row>
    <row r="3509" spans="11:11">
      <c r="K3509" s="1466"/>
    </row>
    <row r="3510" spans="11:11">
      <c r="K3510" s="1466"/>
    </row>
    <row r="3511" spans="11:11">
      <c r="K3511" s="1466"/>
    </row>
    <row r="3512" spans="11:11">
      <c r="K3512" s="1466"/>
    </row>
    <row r="3513" spans="11:11">
      <c r="K3513" s="1466"/>
    </row>
    <row r="3514" spans="11:11">
      <c r="K3514" s="1466"/>
    </row>
    <row r="3515" spans="11:11">
      <c r="K3515" s="1466"/>
    </row>
    <row r="3516" spans="11:11">
      <c r="K3516" s="1466"/>
    </row>
    <row r="3517" spans="11:11">
      <c r="K3517" s="1466"/>
    </row>
    <row r="3518" spans="11:11">
      <c r="K3518" s="1466"/>
    </row>
    <row r="3519" spans="11:11">
      <c r="K3519" s="1466"/>
    </row>
    <row r="3520" spans="11:11">
      <c r="K3520" s="1466"/>
    </row>
    <row r="3521" spans="11:11">
      <c r="K3521" s="1466"/>
    </row>
    <row r="3522" spans="11:11">
      <c r="K3522" s="1466"/>
    </row>
    <row r="3523" spans="11:11">
      <c r="K3523" s="1466"/>
    </row>
    <row r="3524" spans="11:11">
      <c r="K3524" s="1466"/>
    </row>
    <row r="3525" spans="11:11">
      <c r="K3525" s="1466"/>
    </row>
    <row r="3526" spans="11:11">
      <c r="K3526" s="1466"/>
    </row>
    <row r="3527" spans="11:11">
      <c r="K3527" s="1466"/>
    </row>
    <row r="3528" spans="11:11">
      <c r="K3528" s="1466"/>
    </row>
    <row r="3529" spans="11:11">
      <c r="K3529" s="1466"/>
    </row>
    <row r="3530" spans="11:11">
      <c r="K3530" s="1466"/>
    </row>
    <row r="3531" spans="11:11">
      <c r="K3531" s="1466"/>
    </row>
    <row r="3532" spans="11:11">
      <c r="K3532" s="1466"/>
    </row>
    <row r="3533" spans="11:11">
      <c r="K3533" s="1466"/>
    </row>
    <row r="3534" spans="11:11">
      <c r="K3534" s="1466"/>
    </row>
    <row r="3535" spans="11:11">
      <c r="K3535" s="1466"/>
    </row>
    <row r="3536" spans="11:11">
      <c r="K3536" s="1466"/>
    </row>
    <row r="3537" spans="11:11">
      <c r="K3537" s="1466"/>
    </row>
    <row r="3538" spans="11:11">
      <c r="K3538" s="1466"/>
    </row>
    <row r="3539" spans="11:11">
      <c r="K3539" s="1466"/>
    </row>
    <row r="3540" spans="11:11">
      <c r="K3540" s="1466"/>
    </row>
    <row r="3541" spans="11:11">
      <c r="K3541" s="1466"/>
    </row>
    <row r="3542" spans="11:11">
      <c r="K3542" s="1466"/>
    </row>
    <row r="3543" spans="11:11">
      <c r="K3543" s="1466"/>
    </row>
    <row r="3544" spans="11:11">
      <c r="K3544" s="1466"/>
    </row>
    <row r="3545" spans="11:11">
      <c r="K3545" s="1466"/>
    </row>
    <row r="3546" spans="11:11">
      <c r="K3546" s="1466"/>
    </row>
    <row r="3547" spans="11:11">
      <c r="K3547" s="1466"/>
    </row>
    <row r="3548" spans="11:11">
      <c r="K3548" s="1466"/>
    </row>
    <row r="3549" spans="11:11">
      <c r="K3549" s="1466"/>
    </row>
    <row r="3550" spans="11:11">
      <c r="K3550" s="1466"/>
    </row>
    <row r="3551" spans="11:11">
      <c r="K3551" s="1466"/>
    </row>
    <row r="3552" spans="11:11">
      <c r="K3552" s="1466"/>
    </row>
    <row r="3553" spans="11:11">
      <c r="K3553" s="1466"/>
    </row>
    <row r="3554" spans="11:11">
      <c r="K3554" s="1466"/>
    </row>
    <row r="3555" spans="11:11">
      <c r="K3555" s="1466"/>
    </row>
    <row r="3556" spans="11:11">
      <c r="K3556" s="1466"/>
    </row>
    <row r="3557" spans="11:11">
      <c r="K3557" s="1466"/>
    </row>
    <row r="3558" spans="11:11">
      <c r="K3558" s="1466"/>
    </row>
    <row r="3559" spans="11:11">
      <c r="K3559" s="1466"/>
    </row>
    <row r="3560" spans="11:11">
      <c r="K3560" s="1466"/>
    </row>
    <row r="3561" spans="11:11">
      <c r="K3561" s="1466"/>
    </row>
    <row r="3562" spans="11:11">
      <c r="K3562" s="1466"/>
    </row>
    <row r="3563" spans="11:11">
      <c r="K3563" s="1466"/>
    </row>
    <row r="3564" spans="11:11">
      <c r="K3564" s="1466"/>
    </row>
    <row r="3565" spans="11:11">
      <c r="K3565" s="1466"/>
    </row>
    <row r="3566" spans="11:11">
      <c r="K3566" s="1466"/>
    </row>
    <row r="3567" spans="11:11">
      <c r="K3567" s="1466"/>
    </row>
    <row r="3568" spans="11:11">
      <c r="K3568" s="1466"/>
    </row>
    <row r="3569" spans="11:11">
      <c r="K3569" s="1466"/>
    </row>
    <row r="3570" spans="11:11">
      <c r="K3570" s="1466"/>
    </row>
    <row r="3571" spans="11:11">
      <c r="K3571" s="1466"/>
    </row>
    <row r="3572" spans="11:11">
      <c r="K3572" s="1466"/>
    </row>
    <row r="3573" spans="11:11">
      <c r="K3573" s="1466"/>
    </row>
    <row r="3574" spans="11:11">
      <c r="K3574" s="1466"/>
    </row>
    <row r="3575" spans="11:11">
      <c r="K3575" s="1466"/>
    </row>
    <row r="3576" spans="11:11">
      <c r="K3576" s="1466"/>
    </row>
    <row r="3577" spans="11:11">
      <c r="K3577" s="1466"/>
    </row>
    <row r="3578" spans="11:11">
      <c r="K3578" s="1466"/>
    </row>
    <row r="3579" spans="11:11">
      <c r="K3579" s="1466"/>
    </row>
    <row r="3580" spans="11:11">
      <c r="K3580" s="1466"/>
    </row>
    <row r="3581" spans="11:11">
      <c r="K3581" s="1466"/>
    </row>
    <row r="3582" spans="11:11">
      <c r="K3582" s="1466"/>
    </row>
    <row r="3583" spans="11:11">
      <c r="K3583" s="1466"/>
    </row>
    <row r="3584" spans="11:11">
      <c r="K3584" s="1466"/>
    </row>
    <row r="3585" spans="11:11">
      <c r="K3585" s="1466"/>
    </row>
    <row r="3586" spans="11:11">
      <c r="K3586" s="1466"/>
    </row>
    <row r="3587" spans="11:11">
      <c r="K3587" s="1466"/>
    </row>
    <row r="3588" spans="11:11">
      <c r="K3588" s="1466"/>
    </row>
    <row r="3589" spans="11:11">
      <c r="K3589" s="1466"/>
    </row>
    <row r="3590" spans="11:11">
      <c r="K3590" s="1466"/>
    </row>
    <row r="3591" spans="11:11">
      <c r="K3591" s="1466"/>
    </row>
    <row r="3592" spans="11:11">
      <c r="K3592" s="1466"/>
    </row>
    <row r="3593" spans="11:11">
      <c r="K3593" s="1466"/>
    </row>
    <row r="3594" spans="11:11">
      <c r="K3594" s="1466"/>
    </row>
    <row r="3595" spans="11:11">
      <c r="K3595" s="1466"/>
    </row>
    <row r="3596" spans="11:11">
      <c r="K3596" s="1466"/>
    </row>
    <row r="3597" spans="11:11">
      <c r="K3597" s="1466"/>
    </row>
    <row r="3598" spans="11:11">
      <c r="K3598" s="1466"/>
    </row>
    <row r="3599" spans="11:11">
      <c r="K3599" s="1466"/>
    </row>
    <row r="3600" spans="11:11">
      <c r="K3600" s="1466"/>
    </row>
    <row r="3601" spans="11:11">
      <c r="K3601" s="1466"/>
    </row>
    <row r="3602" spans="11:11">
      <c r="K3602" s="1466"/>
    </row>
    <row r="3603" spans="11:11">
      <c r="K3603" s="1466"/>
    </row>
    <row r="3604" spans="11:11">
      <c r="K3604" s="1466"/>
    </row>
    <row r="3605" spans="11:11">
      <c r="K3605" s="1466"/>
    </row>
    <row r="3606" spans="11:11">
      <c r="K3606" s="1466"/>
    </row>
    <row r="3607" spans="11:11">
      <c r="K3607" s="1466"/>
    </row>
    <row r="3608" spans="11:11">
      <c r="K3608" s="1466"/>
    </row>
    <row r="3609" spans="11:11">
      <c r="K3609" s="1466"/>
    </row>
    <row r="3610" spans="11:11">
      <c r="K3610" s="1466"/>
    </row>
    <row r="3611" spans="11:11">
      <c r="K3611" s="1466"/>
    </row>
    <row r="3612" spans="11:11">
      <c r="K3612" s="1466"/>
    </row>
    <row r="3613" spans="11:11">
      <c r="K3613" s="1466"/>
    </row>
    <row r="3614" spans="11:11">
      <c r="K3614" s="1466"/>
    </row>
    <row r="3615" spans="11:11">
      <c r="K3615" s="1466"/>
    </row>
    <row r="3616" spans="11:11">
      <c r="K3616" s="1466"/>
    </row>
    <row r="3617" spans="11:11">
      <c r="K3617" s="1466"/>
    </row>
    <row r="3618" spans="11:11">
      <c r="K3618" s="1466"/>
    </row>
    <row r="3619" spans="11:11">
      <c r="K3619" s="1466"/>
    </row>
    <row r="3620" spans="11:11">
      <c r="K3620" s="1466"/>
    </row>
    <row r="3621" spans="11:11">
      <c r="K3621" s="1466"/>
    </row>
    <row r="3622" spans="11:11">
      <c r="K3622" s="1466"/>
    </row>
    <row r="3623" spans="11:11">
      <c r="K3623" s="1466"/>
    </row>
    <row r="3624" spans="11:11">
      <c r="K3624" s="1466"/>
    </row>
    <row r="3625" spans="11:11">
      <c r="K3625" s="1466"/>
    </row>
    <row r="3626" spans="11:11">
      <c r="K3626" s="1466"/>
    </row>
    <row r="3627" spans="11:11">
      <c r="K3627" s="1466"/>
    </row>
    <row r="3628" spans="11:11">
      <c r="K3628" s="1466"/>
    </row>
    <row r="3629" spans="11:11">
      <c r="K3629" s="1466"/>
    </row>
    <row r="3630" spans="11:11">
      <c r="K3630" s="1466"/>
    </row>
    <row r="3631" spans="11:11">
      <c r="K3631" s="1466"/>
    </row>
    <row r="3632" spans="11:11">
      <c r="K3632" s="1466"/>
    </row>
    <row r="3633" spans="11:11">
      <c r="K3633" s="1466"/>
    </row>
    <row r="3634" spans="11:11">
      <c r="K3634" s="1466"/>
    </row>
    <row r="3635" spans="11:11">
      <c r="K3635" s="1466"/>
    </row>
    <row r="3636" spans="11:11">
      <c r="K3636" s="1466"/>
    </row>
    <row r="3637" spans="11:11">
      <c r="K3637" s="1466"/>
    </row>
    <row r="3638" spans="11:11">
      <c r="K3638" s="1466"/>
    </row>
    <row r="3639" spans="11:11">
      <c r="K3639" s="1466"/>
    </row>
    <row r="3640" spans="11:11">
      <c r="K3640" s="1466"/>
    </row>
    <row r="3641" spans="11:11">
      <c r="K3641" s="1466"/>
    </row>
    <row r="3642" spans="11:11">
      <c r="K3642" s="1466"/>
    </row>
    <row r="3643" spans="11:11">
      <c r="K3643" s="1466"/>
    </row>
    <row r="3644" spans="11:11">
      <c r="K3644" s="1466"/>
    </row>
    <row r="3645" spans="11:11">
      <c r="K3645" s="1466"/>
    </row>
    <row r="3646" spans="11:11">
      <c r="K3646" s="1466"/>
    </row>
    <row r="3647" spans="11:11">
      <c r="K3647" s="1466"/>
    </row>
    <row r="3648" spans="11:11">
      <c r="K3648" s="1466"/>
    </row>
    <row r="3649" spans="11:11">
      <c r="K3649" s="1466"/>
    </row>
    <row r="3650" spans="11:11">
      <c r="K3650" s="1466"/>
    </row>
    <row r="3651" spans="11:11">
      <c r="K3651" s="1466"/>
    </row>
    <row r="3652" spans="11:11">
      <c r="K3652" s="1466"/>
    </row>
    <row r="3653" spans="11:11">
      <c r="K3653" s="1466"/>
    </row>
    <row r="3654" spans="11:11">
      <c r="K3654" s="1466"/>
    </row>
    <row r="3655" spans="11:11">
      <c r="K3655" s="1466"/>
    </row>
    <row r="3656" spans="11:11">
      <c r="K3656" s="1466"/>
    </row>
    <row r="3657" spans="11:11">
      <c r="K3657" s="1466"/>
    </row>
    <row r="3658" spans="11:11">
      <c r="K3658" s="1466"/>
    </row>
    <row r="3659" spans="11:11">
      <c r="K3659" s="1466"/>
    </row>
    <row r="3660" spans="11:11">
      <c r="K3660" s="1466"/>
    </row>
    <row r="3661" spans="11:11">
      <c r="K3661" s="1466"/>
    </row>
    <row r="3662" spans="11:11">
      <c r="K3662" s="1466"/>
    </row>
    <row r="3663" spans="11:11">
      <c r="K3663" s="1466"/>
    </row>
    <row r="3664" spans="11:11">
      <c r="K3664" s="1466"/>
    </row>
    <row r="3665" spans="11:11">
      <c r="K3665" s="1466"/>
    </row>
    <row r="3666" spans="11:11">
      <c r="K3666" s="1466"/>
    </row>
    <row r="3667" spans="11:11">
      <c r="K3667" s="1466"/>
    </row>
    <row r="3668" spans="11:11">
      <c r="K3668" s="1466"/>
    </row>
    <row r="3669" spans="11:11">
      <c r="K3669" s="1466"/>
    </row>
    <row r="3670" spans="11:11">
      <c r="K3670" s="1466"/>
    </row>
    <row r="3671" spans="11:11">
      <c r="K3671" s="1466"/>
    </row>
    <row r="3672" spans="11:11">
      <c r="K3672" s="1466"/>
    </row>
    <row r="3673" spans="11:11">
      <c r="K3673" s="1466"/>
    </row>
    <row r="3674" spans="11:11">
      <c r="K3674" s="1466"/>
    </row>
    <row r="3675" spans="11:11">
      <c r="K3675" s="1466"/>
    </row>
    <row r="3676" spans="11:11">
      <c r="K3676" s="1466"/>
    </row>
    <row r="3677" spans="11:11">
      <c r="K3677" s="1466"/>
    </row>
    <row r="3678" spans="11:11">
      <c r="K3678" s="1466"/>
    </row>
    <row r="3679" spans="11:11">
      <c r="K3679" s="1466"/>
    </row>
    <row r="3680" spans="11:11">
      <c r="K3680" s="1466"/>
    </row>
    <row r="3681" spans="11:11">
      <c r="K3681" s="1466"/>
    </row>
    <row r="3682" spans="11:11">
      <c r="K3682" s="1466"/>
    </row>
    <row r="3683" spans="11:11">
      <c r="K3683" s="1466"/>
    </row>
    <row r="3684" spans="11:11">
      <c r="K3684" s="1466"/>
    </row>
    <row r="3685" spans="11:11">
      <c r="K3685" s="1466"/>
    </row>
    <row r="3686" spans="11:11">
      <c r="K3686" s="1466"/>
    </row>
    <row r="3687" spans="11:11">
      <c r="K3687" s="1466"/>
    </row>
    <row r="3688" spans="11:11">
      <c r="K3688" s="1466"/>
    </row>
    <row r="3689" spans="11:11">
      <c r="K3689" s="1466"/>
    </row>
    <row r="3690" spans="11:11">
      <c r="K3690" s="1466"/>
    </row>
    <row r="3691" spans="11:11">
      <c r="K3691" s="1466"/>
    </row>
    <row r="3692" spans="11:11">
      <c r="K3692" s="1466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78" t="s">
        <v>2202</v>
      </c>
      <c r="B9" s="1578" t="s">
        <v>2203</v>
      </c>
      <c r="C9" s="1578"/>
      <c r="D9" s="1578" t="s">
        <v>2204</v>
      </c>
      <c r="E9" s="1695" t="s">
        <v>2229</v>
      </c>
      <c r="F9" s="1695" t="s">
        <v>2228</v>
      </c>
      <c r="G9" s="1695" t="s">
        <v>36</v>
      </c>
    </row>
    <row r="10" spans="1:11">
      <c r="A10" s="1871" t="s">
        <v>751</v>
      </c>
      <c r="B10" s="1871" t="s">
        <v>2076</v>
      </c>
      <c r="C10" s="1579">
        <v>12</v>
      </c>
      <c r="D10" s="1579" t="s">
        <v>2034</v>
      </c>
      <c r="E10" s="1696">
        <f>Encargos!I20</f>
        <v>0</v>
      </c>
      <c r="F10" s="1696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696">
        <f>(SUMIFS(Financeiros[Valor],Financeiros[iddet1],19,Financeiros[iddet2],60,Financeiros[id_Detalhe_Grupo_TARIFA],C10))</f>
        <v>0</v>
      </c>
      <c r="K10" s="9"/>
    </row>
    <row r="11" spans="1:11">
      <c r="A11" s="1872"/>
      <c r="B11" s="1871"/>
      <c r="C11" s="1579">
        <v>14</v>
      </c>
      <c r="D11" s="1579" t="s">
        <v>40</v>
      </c>
      <c r="E11" s="1696">
        <f ca="1">Resultado!D17</f>
        <v>46023.713893769425</v>
      </c>
      <c r="F11" s="1696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-853.90027895057767</v>
      </c>
      <c r="G11" s="1696">
        <f>(SUMIFS(Financeiros[Valor],Financeiros[iddet1],19,Financeiros[iddet2],60,Financeiros[id_Detalhe_Grupo_TARIFA],C11))</f>
        <v>0</v>
      </c>
    </row>
    <row r="12" spans="1:11">
      <c r="A12" s="1872"/>
      <c r="B12" s="1871"/>
      <c r="C12" s="1579">
        <v>19</v>
      </c>
      <c r="D12" s="1579" t="s">
        <v>48</v>
      </c>
      <c r="E12" s="1696">
        <f ca="1">Resultado!D22-E38</f>
        <v>0</v>
      </c>
      <c r="F12" s="1696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96">
        <f>(SUMIFS(Financeiros[Valor],Financeiros[iddet1],19,Financeiros[iddet2],60,Financeiros[id_Detalhe_Grupo_TARIFA],C12))</f>
        <v>0</v>
      </c>
    </row>
    <row r="13" spans="1:11">
      <c r="A13" s="1872"/>
      <c r="B13" s="1871"/>
      <c r="C13" s="1579">
        <v>20</v>
      </c>
      <c r="D13" s="1579" t="s">
        <v>49</v>
      </c>
      <c r="E13" s="1696">
        <f>Resultado!D23</f>
        <v>0</v>
      </c>
      <c r="F13" s="1696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96">
        <f>(SUMIFS(Financeiros[Valor],Financeiros[iddet1],19,Financeiros[iddet2],60,Financeiros[id_Detalhe_Grupo_TARIFA],C13))</f>
        <v>0</v>
      </c>
    </row>
    <row r="14" spans="1:11">
      <c r="A14" s="1872"/>
      <c r="B14" s="1871"/>
      <c r="C14" s="1579">
        <v>13</v>
      </c>
      <c r="D14" s="1579" t="s">
        <v>39</v>
      </c>
      <c r="E14" s="1696">
        <f>Resultado!D16</f>
        <v>0</v>
      </c>
      <c r="F14" s="1696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96">
        <f>(SUMIFS(Financeiros[Valor],Financeiros[iddet1],19,Financeiros[iddet2],60,Financeiros[id_Detalhe_Grupo_TARIFA],C14))</f>
        <v>0</v>
      </c>
    </row>
    <row r="15" spans="1:11">
      <c r="A15" s="1872"/>
      <c r="B15" s="1871"/>
      <c r="C15" s="1579">
        <v>15</v>
      </c>
      <c r="D15" s="1579" t="s">
        <v>41</v>
      </c>
      <c r="E15" s="1696">
        <f ca="1">Encargos!I19</f>
        <v>3294285.67936</v>
      </c>
      <c r="F15" s="1696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-120209.74283909067</v>
      </c>
      <c r="G15" s="1696">
        <f>(SUMIFS(Financeiros[Valor],Financeiros[iddet1],19,Financeiros[iddet2],60,Financeiros[id_Detalhe_Grupo_TARIFA],C15))</f>
        <v>0</v>
      </c>
    </row>
    <row r="16" spans="1:11">
      <c r="A16" s="1872"/>
      <c r="B16" s="1871"/>
      <c r="C16" s="1579">
        <v>18</v>
      </c>
      <c r="D16" s="1579" t="s">
        <v>47</v>
      </c>
      <c r="E16" s="1696">
        <f ca="1">Resultado!D21</f>
        <v>577427.02811999992</v>
      </c>
      <c r="F16" s="1696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-24479.030390304055</v>
      </c>
      <c r="G16" s="1696">
        <f>(SUMIFS(Financeiros[Valor],Financeiros[iddet1],19,Financeiros[iddet2],60,Financeiros[id_Detalhe_Grupo_TARIFA],C16))</f>
        <v>0</v>
      </c>
    </row>
    <row r="17" spans="1:7">
      <c r="A17" s="1872"/>
      <c r="B17" s="1871"/>
      <c r="C17" s="1579"/>
      <c r="D17" s="1579" t="s">
        <v>2205</v>
      </c>
      <c r="E17" s="1696">
        <v>0</v>
      </c>
      <c r="F17" s="1696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96">
        <v>0</v>
      </c>
    </row>
    <row r="18" spans="1:7">
      <c r="A18" s="1872"/>
      <c r="B18" s="1871"/>
      <c r="C18" s="1579"/>
      <c r="D18" s="1679" t="s">
        <v>2206</v>
      </c>
      <c r="E18" s="1696">
        <f ca="1">SUM(E10:E17)</f>
        <v>3917736.4213737692</v>
      </c>
      <c r="F18" s="1696">
        <f t="shared" ref="F18:G18" ca="1" si="0">SUM(F10:F17)</f>
        <v>-145542.67350834529</v>
      </c>
      <c r="G18" s="1696">
        <f t="shared" si="0"/>
        <v>0</v>
      </c>
    </row>
    <row r="19" spans="1:7">
      <c r="A19" s="1872"/>
      <c r="B19" s="1871" t="s">
        <v>2207</v>
      </c>
      <c r="C19" s="1579">
        <v>1</v>
      </c>
      <c r="D19" s="1579" t="s">
        <v>2208</v>
      </c>
      <c r="E19" s="1696">
        <f>Resultado!D25</f>
        <v>0</v>
      </c>
      <c r="F19" s="1696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96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2"/>
      <c r="B20" s="1871"/>
      <c r="C20" s="1579">
        <v>2</v>
      </c>
      <c r="D20" s="1579" t="s">
        <v>2209</v>
      </c>
      <c r="E20" s="1696">
        <f>Resultado!D26</f>
        <v>0</v>
      </c>
      <c r="F20" s="1696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96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2"/>
      <c r="B21" s="1871"/>
      <c r="C21" s="1579">
        <v>3</v>
      </c>
      <c r="D21" s="1579" t="s">
        <v>2210</v>
      </c>
      <c r="E21" s="1696">
        <f>Resultado!D31</f>
        <v>0</v>
      </c>
      <c r="F21" s="1696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96">
        <f>(SUMIFS(Financeiros[Valor],Financeiros[iddet1],19,Financeiros[iddet2],60,Financeiros[id_Detalhe_Grupo_TARIFA],C21))</f>
        <v>0</v>
      </c>
    </row>
    <row r="22" spans="1:7">
      <c r="A22" s="1872"/>
      <c r="B22" s="1871"/>
      <c r="C22" s="1579">
        <v>4</v>
      </c>
      <c r="D22" s="1579" t="s">
        <v>2211</v>
      </c>
      <c r="E22" s="1696">
        <f>0</f>
        <v>0</v>
      </c>
      <c r="F22" s="1696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96">
        <f>(SUMIFS(Financeiros[Valor],Financeiros[iddet1],19,Financeiros[iddet2],60,Financeiros[id_Detalhe_Grupo_TARIFA],C22))</f>
        <v>0</v>
      </c>
    </row>
    <row r="23" spans="1:7">
      <c r="A23" s="1872"/>
      <c r="B23" s="1871"/>
      <c r="C23" s="1579">
        <v>7</v>
      </c>
      <c r="D23" s="1579" t="s">
        <v>950</v>
      </c>
      <c r="E23" s="1696">
        <f>Resultado!D32</f>
        <v>4210458.682</v>
      </c>
      <c r="F23" s="1696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101885.57692599652</v>
      </c>
      <c r="G23" s="1696">
        <f>(SUMIFS(Financeiros[Valor],Financeiros[iddet1],19,Financeiros[iddet2],60,Financeiros[id_Detalhe_Grupo_TARIFA],C23))</f>
        <v>0</v>
      </c>
    </row>
    <row r="24" spans="1:7">
      <c r="A24" s="1872"/>
      <c r="B24" s="1871"/>
      <c r="C24" s="1579">
        <v>6</v>
      </c>
      <c r="D24" s="1579" t="s">
        <v>2212</v>
      </c>
      <c r="E24" s="1696">
        <f>Resultado!D28</f>
        <v>0</v>
      </c>
      <c r="F24" s="1696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96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2"/>
      <c r="B25" s="1871"/>
      <c r="C25" s="1579">
        <v>5</v>
      </c>
      <c r="D25" s="1579" t="s">
        <v>2213</v>
      </c>
      <c r="E25" s="1696">
        <f>Resultado!D27</f>
        <v>0</v>
      </c>
      <c r="F25" s="1696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96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2"/>
      <c r="B26" s="1871"/>
      <c r="C26" s="1579"/>
      <c r="D26" s="1679" t="s">
        <v>2206</v>
      </c>
      <c r="E26" s="1696">
        <f>SUM(E19:E25)</f>
        <v>4210458.682</v>
      </c>
      <c r="F26" s="1696">
        <f t="shared" ref="F26:G26" si="1">SUM(F19:F25)</f>
        <v>101885.57692599652</v>
      </c>
      <c r="G26" s="1696">
        <f t="shared" si="1"/>
        <v>0</v>
      </c>
    </row>
    <row r="27" spans="1:7">
      <c r="A27" s="1872"/>
      <c r="B27" s="1871" t="s">
        <v>2214</v>
      </c>
      <c r="C27" s="1579">
        <v>999</v>
      </c>
      <c r="D27" s="1579" t="s">
        <v>951</v>
      </c>
      <c r="E27" s="1696">
        <f>LnkTXTIParcelaBcomSub</f>
        <v>10281408.04154011</v>
      </c>
      <c r="F27" s="1696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-3626354.5267763063</v>
      </c>
      <c r="G27" s="1696">
        <v>0</v>
      </c>
    </row>
    <row r="28" spans="1:7">
      <c r="A28" s="1872"/>
      <c r="B28" s="1871"/>
      <c r="C28" s="1579"/>
      <c r="D28" s="1679" t="s">
        <v>2206</v>
      </c>
      <c r="E28" s="1696">
        <f>SUM(E27)</f>
        <v>10281408.04154011</v>
      </c>
      <c r="F28" s="1696">
        <f t="shared" ref="F28:G28" ca="1" si="2">SUM(F27)</f>
        <v>-3626354.5267763063</v>
      </c>
      <c r="G28" s="1696">
        <f t="shared" si="2"/>
        <v>0</v>
      </c>
    </row>
    <row r="29" spans="1:7">
      <c r="A29" s="1872"/>
      <c r="B29" s="1871" t="s">
        <v>2215</v>
      </c>
      <c r="C29" s="1579">
        <v>179</v>
      </c>
      <c r="D29" s="1579" t="s">
        <v>2216</v>
      </c>
      <c r="E29" s="1696">
        <v>0</v>
      </c>
      <c r="F29" s="1696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696">
        <v>0</v>
      </c>
    </row>
    <row r="30" spans="1:7">
      <c r="A30" s="1872"/>
      <c r="B30" s="1871"/>
      <c r="C30" s="1579"/>
      <c r="D30" s="1579" t="s">
        <v>947</v>
      </c>
      <c r="E30" s="1696">
        <v>0</v>
      </c>
      <c r="F30" s="1696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96">
        <v>0</v>
      </c>
    </row>
    <row r="31" spans="1:7">
      <c r="A31" s="1872"/>
      <c r="B31" s="1871"/>
      <c r="C31" s="1579"/>
      <c r="D31" s="1679" t="s">
        <v>2206</v>
      </c>
      <c r="E31" s="1696">
        <f>SUM(E29:E30)</f>
        <v>0</v>
      </c>
      <c r="F31" s="1696">
        <f t="shared" ref="F31:G31" ca="1" si="3">SUM(F29:F30)</f>
        <v>0</v>
      </c>
      <c r="G31" s="1696">
        <f t="shared" si="3"/>
        <v>0</v>
      </c>
    </row>
    <row r="32" spans="1:7">
      <c r="A32" s="1872"/>
      <c r="B32" s="1871" t="s">
        <v>2217</v>
      </c>
      <c r="C32" s="1579">
        <v>8</v>
      </c>
      <c r="D32" s="1579" t="s">
        <v>2218</v>
      </c>
      <c r="E32" s="1696">
        <f ca="1">Energia!D11*Energia!D14</f>
        <v>45738.461918426372</v>
      </c>
      <c r="F32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654.87410567019708</v>
      </c>
      <c r="G32" s="1696">
        <f>(SUMIFS(Financeiros[Valor],Financeiros[iddet1],19,Financeiros[iddet2],60,Financeiros[id_Detalhe_Grupo_TARIFA],C32))</f>
        <v>0</v>
      </c>
    </row>
    <row r="33" spans="1:7">
      <c r="A33" s="1872"/>
      <c r="B33" s="1871"/>
      <c r="C33" s="1579">
        <v>10</v>
      </c>
      <c r="D33" s="1579" t="s">
        <v>2219</v>
      </c>
      <c r="E33" s="1696">
        <f ca="1">Energia!D12*Energia!D14</f>
        <v>1848.3949990074575</v>
      </c>
      <c r="F33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26.464948123072336</v>
      </c>
      <c r="G33" s="1696">
        <f>(SUMIFS(Financeiros[Valor],Financeiros[iddet1],19,Financeiros[iddet2],60,Financeiros[id_Detalhe_Grupo_TARIFA],C33))</f>
        <v>0</v>
      </c>
    </row>
    <row r="34" spans="1:7">
      <c r="A34" s="1872"/>
      <c r="B34" s="1871"/>
      <c r="C34" s="1579">
        <v>9</v>
      </c>
      <c r="D34" s="1579" t="s">
        <v>2220</v>
      </c>
      <c r="E34" s="1696">
        <f ca="1">Energia!D10*Energia!D14</f>
        <v>0</v>
      </c>
      <c r="F34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696">
        <f>(SUMIFS(Financeiros[Valor],Financeiros[iddet1],19,Financeiros[iddet2],60,Financeiros[id_Detalhe_Grupo_TARIFA],C34))</f>
        <v>0</v>
      </c>
    </row>
    <row r="35" spans="1:7">
      <c r="A35" s="1872"/>
      <c r="B35" s="1871"/>
      <c r="C35" s="1579">
        <v>999</v>
      </c>
      <c r="D35" s="1579" t="s">
        <v>987</v>
      </c>
      <c r="E35" s="1696"/>
      <c r="F35" s="1696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96">
        <f>(SUMIFS(Financeiros[Valor],Financeiros[iddet1],19,Financeiros[iddet2],60,Financeiros[id_Detalhe_Grupo_TARIFA],C35))</f>
        <v>0</v>
      </c>
    </row>
    <row r="36" spans="1:7">
      <c r="A36" s="1872"/>
      <c r="B36" s="1871"/>
      <c r="C36" s="1579"/>
      <c r="D36" s="1679" t="s">
        <v>2206</v>
      </c>
      <c r="E36" s="1696">
        <f ca="1">SUM(E32:E35)</f>
        <v>47586.856917433826</v>
      </c>
      <c r="F36" s="1696">
        <f t="shared" ref="F36:G36" ca="1" si="4">SUM(F32:F35)</f>
        <v>681.33905379326939</v>
      </c>
      <c r="G36" s="1696">
        <f t="shared" si="4"/>
        <v>0</v>
      </c>
    </row>
    <row r="37" spans="1:7">
      <c r="A37" s="1872"/>
      <c r="B37" s="1873" t="s">
        <v>2206</v>
      </c>
      <c r="C37" s="1873"/>
      <c r="D37" s="1873"/>
      <c r="E37" s="1696">
        <f ca="1">SUM(E18,E26,E28,E36,E31)</f>
        <v>18457190.001831315</v>
      </c>
      <c r="F37" s="1696">
        <f ca="1">SUM(F18,F26,F28,F36,F31)</f>
        <v>-3669330.2843048619</v>
      </c>
      <c r="G37" s="1696">
        <f>SUM(G18,G26,G28,G36,G31)</f>
        <v>0</v>
      </c>
    </row>
    <row r="38" spans="1:7">
      <c r="A38" s="1871" t="s">
        <v>969</v>
      </c>
      <c r="B38" s="1871" t="s">
        <v>2076</v>
      </c>
      <c r="C38" s="1579">
        <v>19</v>
      </c>
      <c r="D38" s="1579" t="s">
        <v>48</v>
      </c>
      <c r="E38" s="1696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96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96">
        <f>(SUMIFS(Financeiros[Valor],Financeiros[iddet1],19,Financeiros[iddet2],60,Financeiros[id_Detalhe_Grupo_TARIFA],C38))</f>
        <v>0</v>
      </c>
    </row>
    <row r="39" spans="1:7">
      <c r="A39" s="1872"/>
      <c r="B39" s="1871"/>
      <c r="C39" s="1579">
        <v>17</v>
      </c>
      <c r="D39" s="1579" t="s">
        <v>46</v>
      </c>
      <c r="E39" s="1696">
        <f>Encargos!C9</f>
        <v>1190477.8099999998</v>
      </c>
      <c r="F39" s="1696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140497.53145800333</v>
      </c>
      <c r="G39" s="1696">
        <f>(SUMIFS(Financeiros[Valor],Financeiros[iddet1],19,Financeiros[iddet2],60,Financeiros[id_Detalhe_Grupo_TARIFA],C39))</f>
        <v>0</v>
      </c>
    </row>
    <row r="40" spans="1:7">
      <c r="A40" s="1872"/>
      <c r="B40" s="1871"/>
      <c r="C40" s="1579">
        <v>16</v>
      </c>
      <c r="D40" s="1579" t="s">
        <v>112</v>
      </c>
      <c r="E40" s="1696">
        <f>Encargos!C8</f>
        <v>0</v>
      </c>
      <c r="F40" s="1696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96">
        <f>(SUMIFS(Financeiros[Valor],Financeiros[iddet1],19,Financeiros[iddet2],60,Financeiros[id_Detalhe_Grupo_TARIFA],C40))</f>
        <v>0</v>
      </c>
    </row>
    <row r="41" spans="1:7">
      <c r="A41" s="1872"/>
      <c r="B41" s="1871"/>
      <c r="C41" s="1579">
        <v>25</v>
      </c>
      <c r="D41" s="1579" t="s">
        <v>2221</v>
      </c>
      <c r="E41" s="1696">
        <v>0</v>
      </c>
      <c r="F41" s="1696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96">
        <f>(SUMIFS(Financeiros[Valor],Financeiros[iddet1],19,Financeiros[iddet2],60,Financeiros[id_Detalhe_Grupo_TARIFA],C41))</f>
        <v>0</v>
      </c>
    </row>
    <row r="42" spans="1:7">
      <c r="A42" s="1872"/>
      <c r="B42" s="1871"/>
      <c r="C42" s="1579">
        <v>28</v>
      </c>
      <c r="D42" s="1579" t="s">
        <v>2055</v>
      </c>
      <c r="E42" s="1696">
        <f>Encargos!I21</f>
        <v>-564354.49</v>
      </c>
      <c r="F42" s="1696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96">
        <f>(SUMIFS(Financeiros[Valor],Financeiros[iddet1],19,Financeiros[iddet2],60,Financeiros[id_Detalhe_Grupo_TARIFA],C42))</f>
        <v>0</v>
      </c>
    </row>
    <row r="43" spans="1:7">
      <c r="A43" s="1872"/>
      <c r="B43" s="1871"/>
      <c r="C43" s="1579"/>
      <c r="D43" s="1679" t="s">
        <v>2206</v>
      </c>
      <c r="E43" s="1696">
        <f ca="1">SUM(E38:E42)</f>
        <v>626123.31999999983</v>
      </c>
      <c r="F43" s="1696">
        <f ca="1">SUM(F38:F42)</f>
        <v>140497.53145800333</v>
      </c>
      <c r="G43" s="1696">
        <f>SUM(G38:G42)</f>
        <v>0</v>
      </c>
    </row>
    <row r="44" spans="1:7">
      <c r="A44" s="1872"/>
      <c r="B44" s="1871" t="s">
        <v>2077</v>
      </c>
      <c r="C44" s="1579">
        <v>11</v>
      </c>
      <c r="D44" s="1579" t="s">
        <v>2222</v>
      </c>
      <c r="E44" s="1696">
        <f ca="1">Energia!D6*Energia!D14</f>
        <v>6650911.5490313908</v>
      </c>
      <c r="F44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95226.414922554264</v>
      </c>
      <c r="G44" s="1696">
        <f>(SUMIFS(Financeiros[Valor],Financeiros[iddet1],19,Financeiros[iddet2],60,Financeiros[id_Detalhe_Grupo_TARIFA],C44))</f>
        <v>0</v>
      </c>
    </row>
    <row r="45" spans="1:7">
      <c r="A45" s="1872"/>
      <c r="B45" s="1871"/>
      <c r="C45" s="1579"/>
      <c r="D45" s="1679" t="s">
        <v>2206</v>
      </c>
      <c r="E45" s="1696">
        <f ca="1">SUM(E44)</f>
        <v>6650911.5490313908</v>
      </c>
      <c r="F45" s="1696">
        <f ca="1">SUM(F44)</f>
        <v>95226.414922554264</v>
      </c>
      <c r="G45" s="1696">
        <f>SUM(G44)</f>
        <v>0</v>
      </c>
    </row>
    <row r="46" spans="1:7">
      <c r="A46" s="1872"/>
      <c r="B46" s="1871" t="s">
        <v>2207</v>
      </c>
      <c r="C46" s="1579">
        <v>21</v>
      </c>
      <c r="D46" s="1579" t="s">
        <v>973</v>
      </c>
      <c r="E46" s="1696">
        <f>Resultado!D29</f>
        <v>0</v>
      </c>
      <c r="F46" s="1696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96">
        <f>(SUMIFS(Financeiros[Valor],Financeiros[iddet1],19,Financeiros[iddet2],60,Financeiros[id_Detalhe_Grupo_TARIFA],C46))</f>
        <v>0</v>
      </c>
    </row>
    <row r="47" spans="1:7">
      <c r="A47" s="1872"/>
      <c r="B47" s="1871"/>
      <c r="C47" s="1579">
        <v>23</v>
      </c>
      <c r="D47" s="1579" t="s">
        <v>2223</v>
      </c>
      <c r="E47" s="1696">
        <f>Resultado!D30</f>
        <v>0</v>
      </c>
      <c r="F47" s="1696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96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2"/>
      <c r="B48" s="1871"/>
      <c r="C48" s="1579">
        <v>22</v>
      </c>
      <c r="D48" s="1579" t="s">
        <v>2224</v>
      </c>
      <c r="E48" s="1696">
        <f>0</f>
        <v>0</v>
      </c>
      <c r="F48" s="1696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96">
        <f>(SUMIFS(Financeiros[Valor],Financeiros[iddet1],19,Financeiros[iddet2],60,Financeiros[id_Detalhe_Grupo_TARIFA],C48))</f>
        <v>0</v>
      </c>
    </row>
    <row r="49" spans="1:7">
      <c r="A49" s="1872"/>
      <c r="B49" s="1871"/>
      <c r="C49" s="1579"/>
      <c r="D49" s="1679" t="s">
        <v>2206</v>
      </c>
      <c r="E49" s="1696">
        <f>SUM(E46:E48)</f>
        <v>0</v>
      </c>
      <c r="F49" s="1696">
        <f>SUM(F46:F48)</f>
        <v>0</v>
      </c>
      <c r="G49" s="1696">
        <f>SUM(G46:G48)</f>
        <v>0</v>
      </c>
    </row>
    <row r="50" spans="1:7">
      <c r="A50" s="1872"/>
      <c r="B50" s="1871" t="s">
        <v>2215</v>
      </c>
      <c r="C50" s="1579">
        <v>179</v>
      </c>
      <c r="D50" s="1579" t="s">
        <v>2216</v>
      </c>
      <c r="E50" s="1696">
        <v>0</v>
      </c>
      <c r="F50" s="1696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696">
        <f>SUMIFS(Financeiros[Valor],Financeiros[iddet1],19,Financeiros[iddet2],60,Financeiros[id_Detalhe_Grupo_TARIFA],C50)</f>
        <v>0</v>
      </c>
    </row>
    <row r="51" spans="1:7">
      <c r="A51" s="1872"/>
      <c r="B51" s="1871"/>
      <c r="C51" s="1579"/>
      <c r="D51" s="1579" t="s">
        <v>2206</v>
      </c>
      <c r="E51" s="1696">
        <f>SUM(E50)</f>
        <v>0</v>
      </c>
      <c r="F51" s="1696">
        <f ca="1">SUM(F50)</f>
        <v>0</v>
      </c>
      <c r="G51" s="1696">
        <f>SUM(G50)</f>
        <v>0</v>
      </c>
    </row>
    <row r="52" spans="1:7">
      <c r="A52" s="1872"/>
      <c r="B52" s="1871" t="s">
        <v>2217</v>
      </c>
      <c r="C52" s="1579">
        <v>24</v>
      </c>
      <c r="D52" s="1579" t="s">
        <v>2225</v>
      </c>
      <c r="E52" s="1696">
        <f ca="1">Energia!D13*Energia!D14</f>
        <v>268778.42258875689</v>
      </c>
      <c r="F52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3848.3154381137588</v>
      </c>
      <c r="G52" s="1696">
        <f>(SUMIFS(Financeiros[Valor],Financeiros[iddet1],19,Financeiros[iddet2],60,Financeiros[id_Detalhe_Grupo_TARIFA],C52))</f>
        <v>0</v>
      </c>
    </row>
    <row r="53" spans="1:7">
      <c r="A53" s="1872"/>
      <c r="B53" s="1871"/>
      <c r="C53" s="1579"/>
      <c r="D53" s="1679" t="s">
        <v>2206</v>
      </c>
      <c r="E53" s="1696">
        <f ca="1">SUM(E52)</f>
        <v>268778.42258875689</v>
      </c>
      <c r="F53" s="1696">
        <f t="shared" ref="F53:G53" ca="1" si="5">SUM(F52)</f>
        <v>3848.3154381137588</v>
      </c>
      <c r="G53" s="1696">
        <f t="shared" si="5"/>
        <v>0</v>
      </c>
    </row>
    <row r="54" spans="1:7">
      <c r="A54" s="1872"/>
      <c r="B54" s="1873" t="s">
        <v>2206</v>
      </c>
      <c r="C54" s="1873"/>
      <c r="D54" s="1873"/>
      <c r="E54" s="1696">
        <f ca="1">SUM(E43,E45,E49,E53,E51)</f>
        <v>7545813.2916201474</v>
      </c>
      <c r="F54" s="1696">
        <f t="shared" ref="F54:G54" ca="1" si="6">SUM(F43,F45,F49,F53,F51)</f>
        <v>239572.26181867137</v>
      </c>
      <c r="G54" s="1696">
        <f t="shared" si="6"/>
        <v>0</v>
      </c>
    </row>
    <row r="55" spans="1:7">
      <c r="A55" s="1871" t="s">
        <v>758</v>
      </c>
      <c r="B55" s="1871"/>
      <c r="C55" s="1871"/>
      <c r="D55" s="1871"/>
      <c r="E55" s="1696">
        <f ca="1">E37+E54</f>
        <v>26003003.293451462</v>
      </c>
      <c r="F55" s="1696">
        <f t="shared" ref="F55:G55" ca="1" si="7">F37+F54</f>
        <v>-3429758.0224861903</v>
      </c>
      <c r="G55" s="1696">
        <f t="shared" si="7"/>
        <v>0</v>
      </c>
    </row>
    <row r="56" spans="1:7">
      <c r="E56" s="1697"/>
      <c r="F56" s="1697"/>
      <c r="G56" s="1697"/>
    </row>
    <row r="57" spans="1:7">
      <c r="D57" s="1679" t="s">
        <v>2281</v>
      </c>
      <c r="E57" s="1696">
        <f ca="1">Resultado!C5</f>
        <v>26003003.293451466</v>
      </c>
      <c r="F57" s="1696">
        <f ca="1">(SUMIFS(Financeiros[Valor],Financeiros[iddet1],20)+SUMIFS(Financeiros[Valor],Financeiros[iddet1],22)+SUMIFS(Financeiros[Valor],Financeiros[iddet1],19,Financeiros[iddet2],64))</f>
        <v>-3429758.0224861898</v>
      </c>
      <c r="G57" s="1696">
        <f>(SUMIFS(Financeiros[Valor],Financeiros[iddet1],19,Financeiros[iddet2],60))</f>
        <v>0</v>
      </c>
    </row>
    <row r="58" spans="1:7">
      <c r="D58" s="1679" t="s">
        <v>2226</v>
      </c>
      <c r="E58" s="1696" t="str">
        <f ca="1">IF(ABS(E55-E57)&gt;1,"verificar sparta","ok")</f>
        <v>ok</v>
      </c>
      <c r="F58" s="1696" t="str">
        <f t="shared" ref="F58" ca="1" si="8">IF(ABS(F55-F57)&gt;1,"verificar sparta","ok")</f>
        <v>ok</v>
      </c>
      <c r="G58" s="1696" t="str">
        <f>IF(ABS(G55-G57)&gt;1,"verificar sparta","ok")</f>
        <v>ok</v>
      </c>
    </row>
    <row r="59" spans="1:7">
      <c r="E59" s="1697"/>
      <c r="F59" s="1697"/>
      <c r="G59" s="1697"/>
    </row>
    <row r="60" spans="1:7">
      <c r="D60" s="1679" t="s">
        <v>2227</v>
      </c>
      <c r="E60" s="1696">
        <f ca="1">SUMIFS(TabelaBadNet[valor],TabelaBadNet[id_Natureza_dado],2,TabelaBadNet[id_Detalhe_Natureza],1,TabelaBadNet[id_Unidade],3,TabelaBadNet[idDet1],51)</f>
        <v>26003003.293451462</v>
      </c>
      <c r="F60" s="1696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-3429758.0224861898</v>
      </c>
      <c r="G60" s="1696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79" t="s">
        <v>2226</v>
      </c>
      <c r="E61" s="1696" t="str">
        <f ca="1">IF(ABS(E60-E55)&gt;1,"verificar badnet","ok")</f>
        <v>ok</v>
      </c>
      <c r="F61" s="1696" t="str">
        <f t="shared" ref="F61:G61" ca="1" si="9">IF(ABS(F60-F55)&gt;1,"verificar badnet","ok")</f>
        <v>ok</v>
      </c>
      <c r="G61" s="1696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/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1387</v>
      </c>
      <c r="B1" t="s">
        <v>1405</v>
      </c>
      <c r="C1" t="s">
        <v>22</v>
      </c>
      <c r="D1" t="s">
        <v>1406</v>
      </c>
      <c r="E1" t="s">
        <v>1407</v>
      </c>
      <c r="F1" t="s">
        <v>1408</v>
      </c>
      <c r="G1" t="s">
        <v>1409</v>
      </c>
      <c r="H1" t="s">
        <v>1410</v>
      </c>
      <c r="I1" t="s">
        <v>1284</v>
      </c>
      <c r="J1" t="s">
        <v>1285</v>
      </c>
      <c r="K1" t="s">
        <v>1286</v>
      </c>
      <c r="L1" t="s">
        <v>1411</v>
      </c>
      <c r="M1" t="s">
        <v>1412</v>
      </c>
      <c r="N1" t="s">
        <v>1413</v>
      </c>
      <c r="O1" t="s">
        <v>1414</v>
      </c>
      <c r="P1" t="s">
        <v>1415</v>
      </c>
      <c r="Q1" t="s">
        <v>1416</v>
      </c>
    </row>
    <row r="2" spans="1:17" s="13" customFormat="1" ht="15.75">
      <c r="A2" t="s">
        <v>694</v>
      </c>
      <c r="B2" t="s">
        <v>1417</v>
      </c>
      <c r="C2" t="s">
        <v>1401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694</v>
      </c>
      <c r="B3" t="s">
        <v>1417</v>
      </c>
      <c r="C3" t="s">
        <v>770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694</v>
      </c>
      <c r="B4" t="s">
        <v>1417</v>
      </c>
      <c r="C4" t="s">
        <v>1401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694</v>
      </c>
      <c r="B5" t="s">
        <v>1417</v>
      </c>
      <c r="C5" t="s">
        <v>770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694</v>
      </c>
      <c r="B6" t="s">
        <v>1417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0.1694</v>
      </c>
      <c r="Q6" s="232">
        <f ca="1">Resultado!C7</f>
        <v>0.1694</v>
      </c>
    </row>
    <row r="7" spans="1:17" s="13" customFormat="1" ht="15.75">
      <c r="A7" t="s">
        <v>694</v>
      </c>
      <c r="B7" t="s">
        <v>1417</v>
      </c>
      <c r="C7" t="s">
        <v>1259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-0.1542</v>
      </c>
      <c r="Q7" s="232">
        <f ca="1">Resultado!C8</f>
        <v>-0.1542</v>
      </c>
    </row>
    <row r="8" spans="1:17" s="13" customFormat="1" ht="15.75">
      <c r="A8" t="s">
        <v>694</v>
      </c>
      <c r="B8" t="s">
        <v>1417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1.52E-2</v>
      </c>
      <c r="Q8" s="232">
        <f ca="1">Resultado!C9</f>
        <v>1.52E-2</v>
      </c>
    </row>
    <row r="9" spans="1:17" s="13" customFormat="1" ht="15.75">
      <c r="A9" t="s">
        <v>694</v>
      </c>
      <c r="B9" t="s">
        <v>1417</v>
      </c>
      <c r="C9" t="s">
        <v>1418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0.24324314350786316</v>
      </c>
      <c r="Q9" s="232">
        <f ca="1">IF(ISERROR(LnkTXTICMS),0,LnkTXTICMS)</f>
        <v>0.24324314350786316</v>
      </c>
    </row>
    <row r="10" spans="1:17" s="13" customFormat="1" ht="15.75">
      <c r="A10" t="s">
        <v>694</v>
      </c>
      <c r="B10" t="s">
        <v>1417</v>
      </c>
      <c r="C10" t="s">
        <v>1419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0</v>
      </c>
      <c r="Q10" s="232">
        <f ca="1">IF(ISERROR(LNKTXTPercPISCOFINS),0,LNKTXTPercPISCOFINS)</f>
        <v>0</v>
      </c>
    </row>
    <row r="11" spans="1:17" ht="15.75">
      <c r="A11" t="s">
        <v>694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694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694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46023.713893769425</v>
      </c>
      <c r="Q13" s="232">
        <f ca="1">Resultado!D17</f>
        <v>46023.713893769425</v>
      </c>
    </row>
    <row r="14" spans="1:17" ht="15.75">
      <c r="A14" t="s">
        <v>694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3294285.67936</v>
      </c>
      <c r="Q14" s="232">
        <f ca="1">Encargos!I19</f>
        <v>3294285.67936</v>
      </c>
    </row>
    <row r="15" spans="1:17" ht="15.75">
      <c r="A15" t="s">
        <v>694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694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1190477.8099999998</v>
      </c>
      <c r="Q16" s="232">
        <f>Resultado!D20</f>
        <v>1190477.8099999998</v>
      </c>
    </row>
    <row r="17" spans="1:17" ht="15.75">
      <c r="A17" t="s">
        <v>694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577427.02811999992</v>
      </c>
      <c r="Q17" s="232">
        <f ca="1">Resultado!D21</f>
        <v>577427.02811999992</v>
      </c>
    </row>
    <row r="18" spans="1:17" ht="15.75">
      <c r="A18" t="s">
        <v>694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694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694</v>
      </c>
      <c r="B20" t="s">
        <v>715</v>
      </c>
      <c r="C20" t="s">
        <v>1420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694</v>
      </c>
      <c r="B21" t="s">
        <v>715</v>
      </c>
      <c r="C21" t="s">
        <v>1421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4210458.682</v>
      </c>
      <c r="Q21" s="232">
        <f>Q22/(1-Q20)</f>
        <v>4210458.682</v>
      </c>
    </row>
    <row r="22" spans="1:17" ht="15.75">
      <c r="A22" t="s">
        <v>694</v>
      </c>
      <c r="B22" t="s">
        <v>715</v>
      </c>
      <c r="C22" t="s">
        <v>1422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4210458.682</v>
      </c>
      <c r="Q22" s="232">
        <f>CUSD!C3</f>
        <v>4210458.682</v>
      </c>
    </row>
    <row r="23" spans="1:17" ht="15.75">
      <c r="A23" t="s">
        <v>694</v>
      </c>
      <c r="B23" t="s">
        <v>715</v>
      </c>
      <c r="C23" s="9" t="s">
        <v>1151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694</v>
      </c>
      <c r="B24" t="s">
        <v>715</v>
      </c>
      <c r="C24" t="s">
        <v>1179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694</v>
      </c>
      <c r="B25" t="s">
        <v>715</v>
      </c>
      <c r="C25" t="s">
        <v>1423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694</v>
      </c>
      <c r="B26" t="s">
        <v>715</v>
      </c>
      <c r="C26" t="s">
        <v>1424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694</v>
      </c>
      <c r="B27" t="s">
        <v>715</v>
      </c>
      <c r="C27" t="s">
        <v>1425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694</v>
      </c>
      <c r="B28" t="s">
        <v>715</v>
      </c>
      <c r="C28" t="s">
        <v>1426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694</v>
      </c>
      <c r="B29" t="s">
        <v>715</v>
      </c>
      <c r="C29" t="s">
        <v>1427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693</v>
      </c>
      <c r="B30" t="s">
        <v>108</v>
      </c>
      <c r="C30" t="s">
        <v>743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694</v>
      </c>
      <c r="B31" t="s">
        <v>108</v>
      </c>
      <c r="C31" t="s">
        <v>743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43268.810156217063</v>
      </c>
      <c r="Q31" s="232">
        <f ca="1">Energia!D5</f>
        <v>43268.810156217063</v>
      </c>
    </row>
    <row r="32" spans="1:17" ht="15.75">
      <c r="A32" t="s">
        <v>694</v>
      </c>
      <c r="B32" t="s">
        <v>108</v>
      </c>
      <c r="C32" t="s">
        <v>1428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284.04911621706771</v>
      </c>
      <c r="Q32" s="232">
        <f ca="1">Energia!N17</f>
        <v>284.04911621706771</v>
      </c>
    </row>
    <row r="33" spans="1:17" ht="15.75">
      <c r="A33" t="s">
        <v>694</v>
      </c>
      <c r="B33" t="s">
        <v>108</v>
      </c>
      <c r="C33" t="s">
        <v>1429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694</v>
      </c>
      <c r="B34" t="s">
        <v>108</v>
      </c>
      <c r="C34" t="s">
        <v>1430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11.47906912183679</v>
      </c>
      <c r="Q34" s="232">
        <f ca="1">Energia!N18</f>
        <v>11.47906912183679</v>
      </c>
    </row>
    <row r="35" spans="1:17" ht="15.75">
      <c r="A35" t="s">
        <v>694</v>
      </c>
      <c r="B35" t="s">
        <v>108</v>
      </c>
      <c r="C35" t="s">
        <v>1431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1669.1919708781634</v>
      </c>
      <c r="Q35" s="232">
        <f ca="1">Energia!N19</f>
        <v>1669.1919708781634</v>
      </c>
    </row>
    <row r="36" spans="1:17" ht="15.75">
      <c r="A36" t="s">
        <v>694</v>
      </c>
      <c r="B36" t="s">
        <v>108</v>
      </c>
      <c r="C36" t="s">
        <v>1432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6.83005112162627E-3</v>
      </c>
      <c r="Q36" s="232">
        <f ca="1">Energia!N14</f>
        <v>6.83005112162627E-3</v>
      </c>
    </row>
    <row r="37" spans="1:17" s="12" customFormat="1" ht="15.75">
      <c r="A37" t="s">
        <v>694</v>
      </c>
      <c r="B37" t="s">
        <v>108</v>
      </c>
      <c r="C37" t="s">
        <v>1433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694</v>
      </c>
      <c r="B38" t="s">
        <v>108</v>
      </c>
      <c r="C38" t="s">
        <v>1434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4.0412268394683516E-2</v>
      </c>
      <c r="Q38" s="232">
        <f ca="1">Energia!N15</f>
        <v>4.0412268394683516E-2</v>
      </c>
    </row>
    <row r="39" spans="1:17" s="15" customFormat="1" ht="15.75">
      <c r="A39" t="s">
        <v>694</v>
      </c>
      <c r="B39" t="s">
        <v>108</v>
      </c>
      <c r="C39" t="s">
        <v>1435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6967276.8285375815</v>
      </c>
      <c r="Q39" s="232">
        <f ca="1">Energia!D15</f>
        <v>6967276.8285375815</v>
      </c>
    </row>
    <row r="40" spans="1:17" ht="15.75">
      <c r="A40" t="s">
        <v>693</v>
      </c>
      <c r="B40" t="s">
        <v>108</v>
      </c>
      <c r="C40" t="s">
        <v>1436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161.02307420479161</v>
      </c>
      <c r="Q40" s="232">
        <f ca="1">Energia!D14</f>
        <v>161.02307420479161</v>
      </c>
    </row>
    <row r="41" spans="1:17" ht="15.75">
      <c r="A41" t="s">
        <v>693</v>
      </c>
      <c r="B41" t="s">
        <v>108</v>
      </c>
      <c r="C41" t="s">
        <v>1437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659.81567944888718</v>
      </c>
      <c r="Q41" s="232">
        <f>Energia!C20</f>
        <v>659.81567944888718</v>
      </c>
    </row>
    <row r="42" spans="1:17" ht="15.75">
      <c r="A42" t="s">
        <v>694</v>
      </c>
      <c r="B42" t="s">
        <v>108</v>
      </c>
      <c r="C42" t="s">
        <v>1438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32326.826109893853</v>
      </c>
      <c r="Q42" s="232">
        <f ca="1">Energia!C23</f>
        <v>32326.826109893853</v>
      </c>
    </row>
    <row r="43" spans="1:17" ht="15.75">
      <c r="A43" t="s">
        <v>694</v>
      </c>
      <c r="B43" t="s">
        <v>108</v>
      </c>
      <c r="C43" s="9" t="s">
        <v>1439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5201625.7552814921</v>
      </c>
      <c r="Q43" s="232">
        <f ca="1">Energia!F23</f>
        <v>5201625.7552814921</v>
      </c>
    </row>
    <row r="44" spans="1:17" s="12" customFormat="1" ht="15.75">
      <c r="A44" t="s">
        <v>694</v>
      </c>
      <c r="B44" t="s">
        <v>108</v>
      </c>
      <c r="C44" t="s">
        <v>1440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694</v>
      </c>
      <c r="B45" t="s">
        <v>108</v>
      </c>
      <c r="C45" t="s">
        <v>1441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694</v>
      </c>
      <c r="B46" t="s">
        <v>108</v>
      </c>
      <c r="C46" t="s">
        <v>1442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694</v>
      </c>
      <c r="B47" t="s">
        <v>108</v>
      </c>
      <c r="C47" s="9" t="s">
        <v>1443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694</v>
      </c>
      <c r="B48" t="s">
        <v>108</v>
      </c>
      <c r="C48" s="9" t="s">
        <v>1443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694</v>
      </c>
      <c r="B49" t="s">
        <v>108</v>
      </c>
      <c r="C49" s="9" t="s">
        <v>1443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694</v>
      </c>
      <c r="B50" t="s">
        <v>108</v>
      </c>
      <c r="C50" s="9" t="s">
        <v>1443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694</v>
      </c>
      <c r="B51" t="s">
        <v>108</v>
      </c>
      <c r="C51" s="9" t="s">
        <v>1443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694</v>
      </c>
      <c r="B52" t="s">
        <v>893</v>
      </c>
      <c r="C52" t="s">
        <v>885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41304.089999999997</v>
      </c>
      <c r="Q52" s="232">
        <f ca="1">FornecimentoE</f>
        <v>41304.089999999997</v>
      </c>
    </row>
    <row r="53" spans="1:17" s="12" customFormat="1" ht="15.75">
      <c r="A53" t="s">
        <v>694</v>
      </c>
      <c r="B53" t="s">
        <v>893</v>
      </c>
      <c r="C53" t="s">
        <v>906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694</v>
      </c>
      <c r="B54" t="s">
        <v>893</v>
      </c>
      <c r="C54" t="s">
        <v>1444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694</v>
      </c>
      <c r="B55" t="s">
        <v>893</v>
      </c>
      <c r="C55" t="s">
        <v>1445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694</v>
      </c>
      <c r="B56" t="s">
        <v>893</v>
      </c>
      <c r="C56" t="s">
        <v>910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694</v>
      </c>
      <c r="B57" t="s">
        <v>893</v>
      </c>
      <c r="C57" t="s">
        <v>1446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694</v>
      </c>
      <c r="B58" t="s">
        <v>893</v>
      </c>
      <c r="C58" t="s">
        <v>1447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694</v>
      </c>
      <c r="B59" t="s">
        <v>893</v>
      </c>
      <c r="C59" t="s">
        <v>1448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694</v>
      </c>
      <c r="B60" t="s">
        <v>893</v>
      </c>
      <c r="C60" t="s">
        <v>1449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694</v>
      </c>
      <c r="B61" t="s">
        <v>893</v>
      </c>
      <c r="C61" t="s">
        <v>1450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694</v>
      </c>
      <c r="B62" t="s">
        <v>893</v>
      </c>
      <c r="C62" t="s">
        <v>1451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24984.675999999999</v>
      </c>
      <c r="Q62" s="232">
        <f ca="1">Calc_Mercado!C13</f>
        <v>24984.675999999999</v>
      </c>
    </row>
    <row r="63" spans="1:17" s="12" customFormat="1" ht="15.75">
      <c r="A63" t="s">
        <v>694</v>
      </c>
      <c r="B63" t="s">
        <v>893</v>
      </c>
      <c r="C63" t="s">
        <v>1452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694</v>
      </c>
      <c r="B64" t="s">
        <v>893</v>
      </c>
      <c r="C64" t="s">
        <v>1453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16319.413999999999</v>
      </c>
      <c r="Q64" s="232">
        <f ca="1">FornecimentoE_BT</f>
        <v>16319.413999999999</v>
      </c>
    </row>
    <row r="65" spans="1:17" ht="15.75">
      <c r="A65" t="s">
        <v>694</v>
      </c>
      <c r="B65" t="s">
        <v>893</v>
      </c>
      <c r="C65" t="s">
        <v>885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22236423.24388</v>
      </c>
      <c r="Q65" s="232">
        <f ca="1">Calc_Mercado!D8</f>
        <v>22236423.24388</v>
      </c>
    </row>
    <row r="66" spans="1:17" ht="15.75">
      <c r="A66" t="s">
        <v>694</v>
      </c>
      <c r="B66" t="s">
        <v>893</v>
      </c>
      <c r="C66" t="s">
        <v>906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694</v>
      </c>
      <c r="B67" t="s">
        <v>893</v>
      </c>
      <c r="C67" t="s">
        <v>1444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694</v>
      </c>
      <c r="B68" t="s">
        <v>893</v>
      </c>
      <c r="C68" t="s">
        <v>1445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694</v>
      </c>
      <c r="B69" t="s">
        <v>893</v>
      </c>
      <c r="C69" t="s">
        <v>910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694</v>
      </c>
      <c r="B70" t="s">
        <v>893</v>
      </c>
      <c r="C70" t="s">
        <v>1446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694</v>
      </c>
      <c r="B71" t="s">
        <v>893</v>
      </c>
      <c r="C71" t="s">
        <v>1447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694</v>
      </c>
      <c r="B72" t="s">
        <v>893</v>
      </c>
      <c r="C72" t="s">
        <v>1448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694</v>
      </c>
      <c r="B73" t="s">
        <v>893</v>
      </c>
      <c r="C73" t="s">
        <v>1449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694</v>
      </c>
      <c r="B74" t="s">
        <v>893</v>
      </c>
      <c r="C74" t="s">
        <v>1450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694</v>
      </c>
      <c r="B75" t="s">
        <v>893</v>
      </c>
      <c r="C75" t="s">
        <v>1451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12311119.057120001</v>
      </c>
      <c r="Q75" s="232">
        <f ca="1">Calc_Mercado!D13</f>
        <v>12311119.057120001</v>
      </c>
    </row>
    <row r="76" spans="1:17" ht="15.75">
      <c r="A76" t="s">
        <v>694</v>
      </c>
      <c r="B76" t="s">
        <v>893</v>
      </c>
      <c r="C76" t="s">
        <v>1452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694</v>
      </c>
      <c r="B77" t="s">
        <v>893</v>
      </c>
      <c r="C77" t="s">
        <v>1453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9925304.186759999</v>
      </c>
      <c r="Q77" s="232">
        <f ca="1">Calc_Mercado!D15</f>
        <v>9925304.186759999</v>
      </c>
    </row>
    <row r="78" spans="1:17" ht="15.75">
      <c r="A78" t="s">
        <v>694</v>
      </c>
      <c r="B78" t="s">
        <v>893</v>
      </c>
      <c r="C78" t="s">
        <v>1454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693</v>
      </c>
      <c r="B79" t="s">
        <v>893</v>
      </c>
      <c r="C79" s="9" t="s">
        <v>1455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694</v>
      </c>
      <c r="B80" t="s">
        <v>893</v>
      </c>
      <c r="C80" t="s">
        <v>1456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41304.089999999997</v>
      </c>
      <c r="Q80" s="232">
        <f ca="1">LnkTXTEV</f>
        <v>41304.089999999997</v>
      </c>
    </row>
    <row r="81" spans="1:17" ht="15.75">
      <c r="A81" t="s">
        <v>694</v>
      </c>
      <c r="B81" t="s">
        <v>104</v>
      </c>
      <c r="C81" t="s">
        <v>1457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10281408.04154011</v>
      </c>
      <c r="Q81" s="232">
        <f>Resultado!D39</f>
        <v>10281408.04154011</v>
      </c>
    </row>
    <row r="82" spans="1:17" ht="15.75">
      <c r="A82" t="s">
        <v>694</v>
      </c>
      <c r="B82" t="s">
        <v>72</v>
      </c>
      <c r="C82" t="s">
        <v>1458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1459</v>
      </c>
      <c r="B83" t="s">
        <v>1460</v>
      </c>
      <c r="C83" t="s">
        <v>1461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1459</v>
      </c>
      <c r="B84" t="s">
        <v>1460</v>
      </c>
      <c r="C84" t="s">
        <v>1462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1459</v>
      </c>
      <c r="B85" t="s">
        <v>1460</v>
      </c>
      <c r="C85" t="s">
        <v>1463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694</v>
      </c>
      <c r="B86" t="s">
        <v>893</v>
      </c>
      <c r="C86" t="s">
        <v>1464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694</v>
      </c>
      <c r="B87" s="16" t="s">
        <v>108</v>
      </c>
      <c r="C87" s="16" t="s">
        <v>743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43268.810156217063</v>
      </c>
      <c r="Q87" s="232">
        <f ca="1">Energia!D5</f>
        <v>43268.810156217063</v>
      </c>
    </row>
    <row r="88" spans="1:17" ht="15.75">
      <c r="A88" s="16" t="s">
        <v>694</v>
      </c>
      <c r="B88" s="16" t="s">
        <v>108</v>
      </c>
      <c r="C88" s="16" t="s">
        <v>743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6967276.8285375815</v>
      </c>
      <c r="Q88" s="232">
        <f ca="1">Energia!D15</f>
        <v>6967276.8285375815</v>
      </c>
    </row>
    <row r="89" spans="1:17" ht="15.75">
      <c r="A89" s="16" t="s">
        <v>694</v>
      </c>
      <c r="B89" s="16" t="s">
        <v>1465</v>
      </c>
      <c r="C89" s="16" t="s">
        <v>1466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15721595.251911353</v>
      </c>
      <c r="Q89" s="232">
        <f ca="1">Resultado!D34</f>
        <v>15721595.251911353</v>
      </c>
    </row>
    <row r="90" spans="1:17" ht="15.75">
      <c r="A90" s="16" t="s">
        <v>694</v>
      </c>
      <c r="B90" s="16" t="s">
        <v>104</v>
      </c>
      <c r="C90" s="16" t="s">
        <v>758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10281408.04154011</v>
      </c>
      <c r="Q90" s="232">
        <f>Resultado!D39</f>
        <v>10281408.04154011</v>
      </c>
    </row>
    <row r="91" spans="1:17" ht="15.75">
      <c r="A91" s="16" t="s">
        <v>694</v>
      </c>
      <c r="B91" s="16" t="s">
        <v>72</v>
      </c>
      <c r="C91" s="16" t="s">
        <v>758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4543859.741373769</v>
      </c>
      <c r="Q91" s="232">
        <f ca="1">Resultado!D14</f>
        <v>4543859.741373769</v>
      </c>
    </row>
    <row r="92" spans="1:17" ht="15.75">
      <c r="A92" s="16" t="s">
        <v>694</v>
      </c>
      <c r="B92" s="16" t="s">
        <v>715</v>
      </c>
      <c r="C92" s="16" t="s">
        <v>758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4210458.682</v>
      </c>
      <c r="Q92" s="232">
        <f>Resultado!D24</f>
        <v>4210458.682</v>
      </c>
    </row>
    <row r="93" spans="1:17" ht="15.75">
      <c r="A93" s="16" t="s">
        <v>694</v>
      </c>
      <c r="B93" s="16" t="s">
        <v>1465</v>
      </c>
      <c r="C93" s="16" t="s">
        <v>1467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26003003.293451466</v>
      </c>
      <c r="Q93" s="232">
        <f ca="1">Resultado!C5</f>
        <v>26003003.293451466</v>
      </c>
    </row>
    <row r="94" spans="1:17" ht="15.75">
      <c r="A94" s="16" t="s">
        <v>694</v>
      </c>
      <c r="B94" s="16" t="s">
        <v>108</v>
      </c>
      <c r="C94" s="16" t="s">
        <v>1468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4.0412268394683516E-2</v>
      </c>
      <c r="Q94" s="232">
        <f ca="1">Energia!N15</f>
        <v>4.0412268394683516E-2</v>
      </c>
    </row>
    <row r="95" spans="1:17" ht="15.75">
      <c r="A95" s="16" t="s">
        <v>694</v>
      </c>
      <c r="B95" s="16" t="s">
        <v>108</v>
      </c>
      <c r="C95" s="16" t="s">
        <v>1469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1680.6710400000002</v>
      </c>
      <c r="Q95" s="232">
        <f ca="1">Energia!N18+Energia!N19</f>
        <v>1680.6710400000002</v>
      </c>
    </row>
    <row r="96" spans="1:17" ht="15.75">
      <c r="A96" s="16" t="s">
        <v>693</v>
      </c>
      <c r="B96" s="16" t="s">
        <v>108</v>
      </c>
      <c r="C96" s="16" t="s">
        <v>758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8645272.6082147211</v>
      </c>
      <c r="Q96" s="232">
        <f ca="1">Resultado!C33</f>
        <v>8645272.6082147211</v>
      </c>
    </row>
    <row r="97" spans="1:17" ht="15.75">
      <c r="A97" s="16" t="s">
        <v>693</v>
      </c>
      <c r="B97" s="16" t="s">
        <v>1465</v>
      </c>
      <c r="C97" s="16" t="s">
        <v>1470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22236423.24388</v>
      </c>
      <c r="Q97" s="232">
        <f ca="1">Mercado_RA0_Reais</f>
        <v>22236423.24388</v>
      </c>
    </row>
    <row r="98" spans="1:17" ht="15.75">
      <c r="A98" s="16" t="s">
        <v>694</v>
      </c>
      <c r="B98" s="16" t="s">
        <v>1288</v>
      </c>
      <c r="C98" s="16" t="s">
        <v>758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-3429758.0224861898</v>
      </c>
      <c r="Q98" s="232">
        <f ca="1">Financeiros!D7</f>
        <v>-3429758.0224861898</v>
      </c>
    </row>
    <row r="99" spans="1:17" ht="15.75">
      <c r="A99" s="16" t="s">
        <v>694</v>
      </c>
      <c r="B99" s="16" t="s">
        <v>1288</v>
      </c>
      <c r="C99" s="16" t="s">
        <v>758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-0.15424054421297911</v>
      </c>
      <c r="Q99" s="232">
        <f ca="1">Financeiros!E7</f>
        <v>-0.15424054421297911</v>
      </c>
    </row>
    <row r="100" spans="1:17" ht="15.75">
      <c r="A100" s="16" t="s">
        <v>694</v>
      </c>
      <c r="B100" s="16" t="s">
        <v>1471</v>
      </c>
      <c r="C100" s="16" t="s">
        <v>1472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22573245.270965274</v>
      </c>
      <c r="Q100" s="232">
        <f ca="1">Resultado!C5+Financeiros!D7/(1+IF(Q86&gt;0,Q86,0))</f>
        <v>22573245.270965274</v>
      </c>
    </row>
    <row r="101" spans="1:17" ht="15.75">
      <c r="A101" t="s">
        <v>694</v>
      </c>
      <c r="B101" t="s">
        <v>72</v>
      </c>
      <c r="C101" t="s">
        <v>1458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694</v>
      </c>
      <c r="B102" t="s">
        <v>108</v>
      </c>
      <c r="C102" t="s">
        <v>743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43268.810156217063</v>
      </c>
      <c r="Q102" s="232">
        <f ca="1">Energia!D5</f>
        <v>43268.810156217063</v>
      </c>
    </row>
    <row r="103" spans="1:17" ht="15.75">
      <c r="A103" s="16" t="s">
        <v>694</v>
      </c>
      <c r="B103" s="16" t="s">
        <v>108</v>
      </c>
      <c r="C103" s="16" t="s">
        <v>743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6967276.8285375815</v>
      </c>
      <c r="Q103" s="232">
        <f ca="1">Energia!D15</f>
        <v>6967276.8285375815</v>
      </c>
    </row>
    <row r="104" spans="1:17" ht="15.75">
      <c r="A104" t="s">
        <v>694</v>
      </c>
      <c r="B104" t="s">
        <v>108</v>
      </c>
      <c r="C104" t="s">
        <v>1474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1964.7201562170678</v>
      </c>
      <c r="Q104" s="232">
        <f ca="1">SUM(LnkTXTPerdas)</f>
        <v>1964.7201562170678</v>
      </c>
    </row>
    <row r="105" spans="1:17" ht="15.75">
      <c r="A105" s="16" t="s">
        <v>694</v>
      </c>
      <c r="B105" s="16" t="s">
        <v>1471</v>
      </c>
      <c r="C105" s="16" t="s">
        <v>1475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72477</v>
      </c>
      <c r="Q105" s="232">
        <f ca="1">SUM(INDIRECT("dados_MercadoBase[D]"))</f>
        <v>72477</v>
      </c>
    </row>
    <row r="106" spans="1:17" ht="15.75">
      <c r="A106" t="s">
        <v>694</v>
      </c>
      <c r="B106" t="s">
        <v>1471</v>
      </c>
      <c r="C106" t="s">
        <v>1476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41304.08999999996</v>
      </c>
      <c r="Q106" s="232">
        <f ca="1">SUM(INDIRECT("dados_MercadoBase[TUSD_E]"))</f>
        <v>41304.08999999996</v>
      </c>
    </row>
    <row r="107" spans="1:17" ht="15.75">
      <c r="A107" s="16" t="s">
        <v>693</v>
      </c>
      <c r="B107" s="16" t="s">
        <v>715</v>
      </c>
      <c r="C107" s="16" t="s">
        <v>1477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693</v>
      </c>
      <c r="B108" t="s">
        <v>715</v>
      </c>
      <c r="C108" t="s">
        <v>1179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693</v>
      </c>
      <c r="B109" s="16" t="s">
        <v>715</v>
      </c>
      <c r="C109" s="16" t="s">
        <v>1423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693</v>
      </c>
      <c r="B110" t="s">
        <v>715</v>
      </c>
      <c r="C110" t="s">
        <v>1424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693</v>
      </c>
      <c r="B111" s="16" t="s">
        <v>715</v>
      </c>
      <c r="C111" s="16" t="s">
        <v>1425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694</v>
      </c>
      <c r="B112" t="s">
        <v>715</v>
      </c>
      <c r="C112" t="s">
        <v>1478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694</v>
      </c>
      <c r="B113" s="16" t="s">
        <v>1471</v>
      </c>
      <c r="C113" s="16" t="s">
        <v>1479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41304.08999999996</v>
      </c>
      <c r="Q113" s="232">
        <f ca="1">SUM(INDIRECT("dados_MercadoBase[TE_E]"))</f>
        <v>41304.08999999996</v>
      </c>
    </row>
    <row r="114" spans="1:19" ht="15.75">
      <c r="A114" t="s">
        <v>694</v>
      </c>
      <c r="B114" t="s">
        <v>1480</v>
      </c>
      <c r="C114" t="s">
        <v>1481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694</v>
      </c>
      <c r="B115" s="16" t="s">
        <v>1480</v>
      </c>
      <c r="C115" s="16" t="s">
        <v>1482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694</v>
      </c>
      <c r="B116" t="s">
        <v>1480</v>
      </c>
      <c r="C116" t="s">
        <v>1483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7500000</v>
      </c>
      <c r="Q116" s="232">
        <f>CAPA!D32</f>
        <v>7500000</v>
      </c>
      <c r="S116" s="9"/>
    </row>
    <row r="117" spans="1:19" ht="15.75">
      <c r="A117" s="16" t="s">
        <v>694</v>
      </c>
      <c r="B117" s="16" t="s">
        <v>1480</v>
      </c>
      <c r="C117" s="16" t="s">
        <v>1484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694</v>
      </c>
      <c r="B118" t="s">
        <v>1480</v>
      </c>
      <c r="C118" t="s">
        <v>1485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2800000</v>
      </c>
      <c r="Q118" s="232">
        <f>CAPA!D33</f>
        <v>2800000</v>
      </c>
    </row>
    <row r="119" spans="1:19" ht="15.75">
      <c r="A119" s="16" t="s">
        <v>694</v>
      </c>
      <c r="B119" s="16" t="s">
        <v>1480</v>
      </c>
      <c r="C119" s="16" t="s">
        <v>1486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10281408.04154011</v>
      </c>
      <c r="Q119" s="232">
        <f>Resultado!D39</f>
        <v>10281408.04154011</v>
      </c>
    </row>
    <row r="120" spans="1:19" ht="15.75">
      <c r="A120" t="s">
        <v>694</v>
      </c>
      <c r="B120" t="s">
        <v>1480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1471</v>
      </c>
      <c r="B121" t="s">
        <v>1487</v>
      </c>
      <c r="C121" t="s">
        <v>1488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1471</v>
      </c>
      <c r="B122" t="s">
        <v>1487</v>
      </c>
      <c r="C122" t="s">
        <v>1489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1471</v>
      </c>
      <c r="B123" t="s">
        <v>1487</v>
      </c>
      <c r="C123" t="s">
        <v>1490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1471</v>
      </c>
      <c r="B124" t="s">
        <v>1487</v>
      </c>
      <c r="C124" t="s">
        <v>1491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22.561737368423866</v>
      </c>
      <c r="Q124" s="232">
        <f>'Tabelas e Gráficos'!BP314</f>
        <v>22.561737368423866</v>
      </c>
    </row>
    <row r="125" spans="1:19" ht="15.75">
      <c r="A125" t="s">
        <v>1471</v>
      </c>
      <c r="B125" t="s">
        <v>1487</v>
      </c>
      <c r="C125" t="s">
        <v>1492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-4440.1962319815357</v>
      </c>
      <c r="Q125" s="232">
        <f>'Tabelas e Gráficos'!BP315</f>
        <v>-4440.1962319815357</v>
      </c>
    </row>
    <row r="126" spans="1:19" ht="15.75">
      <c r="A126" t="s">
        <v>1471</v>
      </c>
      <c r="B126" t="s">
        <v>1487</v>
      </c>
      <c r="C126" t="s">
        <v>1493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901.522222653835</v>
      </c>
      <c r="Q126" s="232">
        <f>'Tabelas e Gráficos'!BP316</f>
        <v>901.522222653835</v>
      </c>
    </row>
    <row r="127" spans="1:19" ht="15.75">
      <c r="A127" t="s">
        <v>1471</v>
      </c>
      <c r="B127" t="s">
        <v>1487</v>
      </c>
      <c r="C127" t="s">
        <v>1494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1471</v>
      </c>
      <c r="B128" t="s">
        <v>1487</v>
      </c>
      <c r="C128" t="s">
        <v>1495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1471</v>
      </c>
      <c r="B129" t="s">
        <v>1487</v>
      </c>
      <c r="C129" t="s">
        <v>1496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1471</v>
      </c>
      <c r="B130" t="s">
        <v>1487</v>
      </c>
      <c r="C130" t="s">
        <v>1497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378.59281725175128</v>
      </c>
      <c r="Q130" s="232">
        <f>'Tabelas e Gráficos'!BQ314</f>
        <v>378.59281725175128</v>
      </c>
    </row>
    <row r="131" spans="1:17" ht="15.75">
      <c r="A131" t="s">
        <v>1471</v>
      </c>
      <c r="B131" t="s">
        <v>1487</v>
      </c>
      <c r="C131" t="s">
        <v>1498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17338.943952441998</v>
      </c>
      <c r="Q131" s="232">
        <f>'Tabelas e Gráficos'!BQ315</f>
        <v>17338.943952441998</v>
      </c>
    </row>
    <row r="132" spans="1:17" ht="15.75">
      <c r="A132" t="s">
        <v>1471</v>
      </c>
      <c r="B132" t="s">
        <v>1487</v>
      </c>
      <c r="C132" t="s">
        <v>1499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2827.732086121965</v>
      </c>
      <c r="Q132" s="232">
        <f>'Tabelas e Gráficos'!BQ316</f>
        <v>2827.732086121965</v>
      </c>
    </row>
    <row r="133" spans="1:17" ht="15.75">
      <c r="A133" t="s">
        <v>1471</v>
      </c>
      <c r="B133" t="s">
        <v>1487</v>
      </c>
      <c r="C133" t="s">
        <v>1500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1471</v>
      </c>
      <c r="B134" t="s">
        <v>1487</v>
      </c>
      <c r="C134" t="s">
        <v>1501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1471</v>
      </c>
      <c r="B135" t="s">
        <v>1487</v>
      </c>
      <c r="C135" t="s">
        <v>1502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1471</v>
      </c>
      <c r="B136" t="s">
        <v>1487</v>
      </c>
      <c r="C136" t="s">
        <v>1503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401.15455462017513</v>
      </c>
      <c r="Q136" s="232">
        <f>'Tabelas e Gráficos'!BR314</f>
        <v>401.15455462017513</v>
      </c>
    </row>
    <row r="137" spans="1:17" ht="15.75">
      <c r="A137" t="s">
        <v>1471</v>
      </c>
      <c r="B137" t="s">
        <v>1487</v>
      </c>
      <c r="C137" t="s">
        <v>1504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12898.747720460462</v>
      </c>
      <c r="Q137" s="232">
        <f>'Tabelas e Gráficos'!BR315</f>
        <v>12898.747720460462</v>
      </c>
    </row>
    <row r="138" spans="1:17" ht="15.75">
      <c r="A138" t="s">
        <v>1471</v>
      </c>
      <c r="B138" t="s">
        <v>1487</v>
      </c>
      <c r="C138" t="s">
        <v>1505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3729.2543087757999</v>
      </c>
      <c r="Q138" s="232">
        <f>'Tabelas e Gráficos'!BR316</f>
        <v>3729.2543087757999</v>
      </c>
    </row>
    <row r="139" spans="1:17" ht="15.75">
      <c r="A139" s="846" t="s">
        <v>694</v>
      </c>
      <c r="B139" s="846" t="s">
        <v>72</v>
      </c>
      <c r="C139" s="846" t="s">
        <v>1506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694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1163.2013159052865</v>
      </c>
      <c r="Q140" s="232">
        <f ca="1">Energia!$C$21</f>
        <v>1163.2013159052865</v>
      </c>
    </row>
    <row r="141" spans="1:17" ht="15.75">
      <c r="A141" s="846" t="s">
        <v>694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406131.73944833077</v>
      </c>
      <c r="Q141" s="232">
        <f ca="1">Energia!$F$21</f>
        <v>406131.73944833077</v>
      </c>
    </row>
    <row r="142" spans="1:17" ht="15.75">
      <c r="A142" s="846" t="s">
        <v>694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9118.9670509690422</v>
      </c>
      <c r="Q142" s="232">
        <f ca="1">Energia!$C$22</f>
        <v>9118.9670509690422</v>
      </c>
    </row>
    <row r="143" spans="1:17" ht="15.75">
      <c r="A143" s="846" t="s">
        <v>694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1359519.3338077592</v>
      </c>
      <c r="Q143" s="232">
        <f ca="1">Energia!$F$22</f>
        <v>1359519.3338077592</v>
      </c>
    </row>
    <row r="144" spans="1:17" ht="15.75">
      <c r="A144" s="846" t="s">
        <v>694</v>
      </c>
      <c r="B144" s="846" t="s">
        <v>72</v>
      </c>
      <c r="C144" s="846" t="s">
        <v>2053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1172337.4099999999</v>
      </c>
      <c r="Q144" s="232">
        <f>Encargos!L17</f>
        <v>1172337.4099999999</v>
      </c>
    </row>
    <row r="145" spans="1:17" ht="15.75">
      <c r="A145" s="846" t="s">
        <v>694</v>
      </c>
      <c r="B145" s="846" t="s">
        <v>72</v>
      </c>
      <c r="C145" s="846" t="s">
        <v>2055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-564354.49</v>
      </c>
      <c r="Q145" s="232">
        <f>Encargos!I21</f>
        <v>-564354.49</v>
      </c>
    </row>
    <row r="146" spans="1:17" ht="15.75">
      <c r="A146" s="846" t="s">
        <v>1459</v>
      </c>
      <c r="B146" s="846" t="s">
        <v>108</v>
      </c>
      <c r="C146" s="846" t="s">
        <v>2162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4.7567205964762035E-2</v>
      </c>
      <c r="Q146" s="232">
        <f ca="1">Energia!L35</f>
        <v>4.7567205964762035E-2</v>
      </c>
    </row>
    <row r="147" spans="1:17" ht="15.75">
      <c r="A147" s="846" t="s">
        <v>694</v>
      </c>
      <c r="B147" s="846" t="s">
        <v>1288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139467.33290421998</v>
      </c>
      <c r="Q147" s="232">
        <f>Financeiros!D9</f>
        <v>139467.33290421998</v>
      </c>
    </row>
    <row r="148" spans="1:17" ht="15.75">
      <c r="A148" s="846" t="s">
        <v>694</v>
      </c>
      <c r="B148" s="846" t="s">
        <v>1288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211820.88851796091</v>
      </c>
      <c r="Q148" s="232">
        <f ca="1">Financeiros!D10</f>
        <v>211820.88851796091</v>
      </c>
    </row>
    <row r="149" spans="1:17" ht="15.75">
      <c r="A149" s="846" t="s">
        <v>694</v>
      </c>
      <c r="B149" s="846" t="s">
        <v>1288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694</v>
      </c>
      <c r="B150" s="846" t="s">
        <v>1288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1456.6968108930819</v>
      </c>
      <c r="Q150" s="232">
        <f ca="1">Financeiros!D12</f>
        <v>1456.6968108930819</v>
      </c>
    </row>
    <row r="151" spans="1:17" ht="15.75">
      <c r="A151" s="846" t="s">
        <v>694</v>
      </c>
      <c r="B151" s="846" t="s">
        <v>1288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58.868422491490762</v>
      </c>
      <c r="Q151" s="232">
        <f ca="1">Financeiros!D13</f>
        <v>58.868422491490762</v>
      </c>
    </row>
    <row r="152" spans="1:17" ht="15.75">
      <c r="A152" s="846" t="s">
        <v>694</v>
      </c>
      <c r="B152" s="846" t="s">
        <v>1288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8560.1625983881731</v>
      </c>
      <c r="Q152" s="232">
        <f ca="1">Financeiros!D14</f>
        <v>8560.1625983881731</v>
      </c>
    </row>
    <row r="153" spans="1:17" ht="15.75">
      <c r="A153" s="846" t="s">
        <v>694</v>
      </c>
      <c r="B153" s="846" t="s">
        <v>1288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-853.90027895057767</v>
      </c>
      <c r="Q153" s="232">
        <f ca="1">Financeiros!D15</f>
        <v>-853.90027895057767</v>
      </c>
    </row>
    <row r="154" spans="1:17" ht="15.75">
      <c r="A154" s="846" t="s">
        <v>694</v>
      </c>
      <c r="B154" s="846" t="s">
        <v>1288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-120209.74283909067</v>
      </c>
      <c r="Q154" s="232">
        <f ca="1">Financeiros!D16</f>
        <v>-120209.74283909067</v>
      </c>
    </row>
    <row r="155" spans="1:17" ht="15.75">
      <c r="A155" s="846" t="s">
        <v>694</v>
      </c>
      <c r="B155" s="846" t="s">
        <v>1288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694</v>
      </c>
      <c r="B156" s="846" t="s">
        <v>1288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-11974.966841996687</v>
      </c>
      <c r="Q156" s="232">
        <f ca="1">Financeiros!D18</f>
        <v>-11974.966841996687</v>
      </c>
    </row>
    <row r="157" spans="1:17" ht="15.75">
      <c r="A157" s="846" t="s">
        <v>694</v>
      </c>
      <c r="B157" s="846" t="s">
        <v>1288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-24479.030390304055</v>
      </c>
      <c r="Q157" s="232">
        <f ca="1">Financeiros!D19</f>
        <v>-24479.030390304055</v>
      </c>
    </row>
    <row r="158" spans="1:17" ht="15.75">
      <c r="A158" s="846" t="s">
        <v>694</v>
      </c>
      <c r="B158" s="846" t="s">
        <v>1288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694</v>
      </c>
      <c r="B159" s="846" t="s">
        <v>1288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694</v>
      </c>
      <c r="B160" s="846" t="s">
        <v>1288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694</v>
      </c>
      <c r="B161" s="846" t="s">
        <v>1288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694</v>
      </c>
      <c r="B162" s="846" t="s">
        <v>1288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694</v>
      </c>
      <c r="B163" s="846" t="s">
        <v>1288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694</v>
      </c>
      <c r="B164" s="846" t="s">
        <v>1288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694</v>
      </c>
      <c r="B165" s="846" t="s">
        <v>1288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694</v>
      </c>
      <c r="B166" s="846" t="s">
        <v>1288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694</v>
      </c>
      <c r="B167" s="846" t="s">
        <v>1288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-37581.75597822346</v>
      </c>
      <c r="Q167" s="232">
        <f>Financeiros!D29</f>
        <v>-37581.75597822346</v>
      </c>
    </row>
    <row r="168" spans="1:17" ht="15.75">
      <c r="A168" s="846" t="s">
        <v>694</v>
      </c>
      <c r="B168" s="846" t="s">
        <v>1288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-3622155.4467763063</v>
      </c>
      <c r="Q168" s="232">
        <f ca="1">Financeiros!D30</f>
        <v>-3622155.4467763063</v>
      </c>
    </row>
    <row r="169" spans="1:17" ht="15.75">
      <c r="A169" s="846" t="s">
        <v>694</v>
      </c>
      <c r="B169" s="846" t="s">
        <v>1288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0</v>
      </c>
      <c r="Q169" s="232">
        <f>Financeiros!D31</f>
        <v>0</v>
      </c>
    </row>
    <row r="170" spans="1:17" ht="15.75">
      <c r="A170" s="846" t="s">
        <v>694</v>
      </c>
      <c r="B170" s="846" t="s">
        <v>1288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694</v>
      </c>
      <c r="B171" s="846" t="s">
        <v>1288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694</v>
      </c>
      <c r="B172" s="846" t="s">
        <v>1288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694</v>
      </c>
      <c r="B173" s="846" t="s">
        <v>1288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694</v>
      </c>
      <c r="B174" s="846" t="s">
        <v>1288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694</v>
      </c>
      <c r="B175" s="846" t="s">
        <v>1288</v>
      </c>
      <c r="C175" s="846" t="str">
        <f>Financeiros!C37</f>
        <v>Diferimento de Parcela B</v>
      </c>
      <c r="D175" s="846">
        <v>2</v>
      </c>
      <c r="E175" s="846">
        <v>2</v>
      </c>
      <c r="F175" s="846">
        <v>999</v>
      </c>
      <c r="G175" s="846">
        <v>999999</v>
      </c>
      <c r="H175" s="846">
        <v>999</v>
      </c>
      <c r="I175" s="846">
        <v>99</v>
      </c>
      <c r="J175" s="846">
        <v>999</v>
      </c>
      <c r="K175" s="846"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0</v>
      </c>
      <c r="Q175" s="232">
        <f>Financeiros!D37</f>
        <v>0</v>
      </c>
    </row>
    <row r="176" spans="1:17" ht="15.75">
      <c r="A176" s="846" t="s">
        <v>694</v>
      </c>
      <c r="B176" s="846" t="s">
        <v>1288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694</v>
      </c>
      <c r="B177" s="846" t="s">
        <v>1288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694</v>
      </c>
      <c r="B178" s="846" t="s">
        <v>1288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0</v>
      </c>
      <c r="Q178" s="232">
        <f>Financeiros!D40</f>
        <v>0</v>
      </c>
    </row>
    <row r="179" spans="1:17" ht="15.75">
      <c r="A179" s="846" t="s">
        <v>694</v>
      </c>
      <c r="B179" s="846" t="s">
        <v>1288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si="6"/>
        <v>0</v>
      </c>
      <c r="Q179" s="232">
        <f>Financeiros!D41</f>
        <v>0</v>
      </c>
    </row>
    <row r="180" spans="1:17" ht="15.75">
      <c r="A180" s="846" t="s">
        <v>694</v>
      </c>
      <c r="B180" s="846" t="s">
        <v>1288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-4199.08</v>
      </c>
      <c r="Q180" s="232">
        <f>Financeiros!D42</f>
        <v>-4199.08</v>
      </c>
    </row>
    <row r="181" spans="1:17" ht="15.75">
      <c r="A181" s="846" t="s">
        <v>694</v>
      </c>
      <c r="B181" s="846" t="s">
        <v>1288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694</v>
      </c>
      <c r="B182" s="846" t="s">
        <v>1288</v>
      </c>
      <c r="C182" s="846" t="str">
        <f>Financeiros!C44</f>
        <v>Diferimento de Energia</v>
      </c>
      <c r="D182" s="846">
        <v>2</v>
      </c>
      <c r="E182" s="846">
        <v>2</v>
      </c>
      <c r="F182" s="846">
        <f>Financeiros!H44</f>
        <v>22</v>
      </c>
      <c r="G182" s="846">
        <f>Financeiros!I44</f>
        <v>60</v>
      </c>
      <c r="H182" s="846">
        <f>Financeiros!J44</f>
        <v>999</v>
      </c>
      <c r="I182" s="846">
        <f>Financeiros!K44</f>
        <v>2</v>
      </c>
      <c r="J182" s="846">
        <f>Financeiros!L44</f>
        <v>30</v>
      </c>
      <c r="K182" s="846">
        <f>Financeiros!M44</f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694</v>
      </c>
      <c r="B183" s="846" t="s">
        <v>1288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f>Financeiros!H45</f>
        <v>22</v>
      </c>
      <c r="G183" s="846">
        <f>Financeiros!I45</f>
        <v>60</v>
      </c>
      <c r="H183" s="846">
        <f>Financeiros!J45</f>
        <v>999</v>
      </c>
      <c r="I183" s="846">
        <f>Financeiros!K45</f>
        <v>2</v>
      </c>
      <c r="J183" s="846">
        <f>Financeiros!L45</f>
        <v>30</v>
      </c>
      <c r="K183" s="846">
        <f>Financeiros!M45</f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694</v>
      </c>
      <c r="B184" s="846" t="s">
        <v>1288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20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694</v>
      </c>
      <c r="B185" s="846" t="s">
        <v>1288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0</v>
      </c>
      <c r="Q185" s="232">
        <f>Financeiros!D47</f>
        <v>0</v>
      </c>
    </row>
    <row r="186" spans="1:17" ht="15.75">
      <c r="A186" s="846" t="s">
        <v>694</v>
      </c>
      <c r="B186" s="846" t="s">
        <v>1288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0</v>
      </c>
      <c r="Q186" s="232">
        <f>Financeiros!D48</f>
        <v>0</v>
      </c>
    </row>
    <row r="187" spans="1:17" ht="15.75">
      <c r="A187" s="846" t="s">
        <v>694</v>
      </c>
      <c r="B187" s="846" t="s">
        <v>1288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694</v>
      </c>
      <c r="B188" s="846" t="s">
        <v>1288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694</v>
      </c>
      <c r="B189" s="846" t="s">
        <v>1288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694</v>
      </c>
      <c r="B190" s="846" t="s">
        <v>1288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694</v>
      </c>
      <c r="B191" s="846" t="s">
        <v>1288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694</v>
      </c>
      <c r="B192" s="846" t="s">
        <v>1288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694</v>
      </c>
      <c r="B193" s="846" t="s">
        <v>1288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694</v>
      </c>
      <c r="B194" s="846" t="s">
        <v>1288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694</v>
      </c>
      <c r="B195" s="846" t="s">
        <v>1288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694</v>
      </c>
      <c r="B196" s="846" t="s">
        <v>1288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-10811.28297594013</v>
      </c>
      <c r="Q196" s="232">
        <f ca="1">Financeiros!D58</f>
        <v>-10811.28297594013</v>
      </c>
    </row>
    <row r="197" spans="1:17" ht="15.75">
      <c r="A197" s="846" t="s">
        <v>694</v>
      </c>
      <c r="B197" s="846" t="s">
        <v>1288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694</v>
      </c>
      <c r="B198" s="846" t="s">
        <v>1288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-74.349425795082865</v>
      </c>
      <c r="Q198" s="232">
        <f ca="1">Financeiros!D60</f>
        <v>-74.349425795082865</v>
      </c>
    </row>
    <row r="199" spans="1:17" ht="15.75">
      <c r="A199" s="846" t="s">
        <v>694</v>
      </c>
      <c r="B199" s="846" t="s">
        <v>1288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-3.0046289502214942</v>
      </c>
      <c r="Q199" s="232">
        <f ca="1">Financeiros!D61</f>
        <v>-3.0046289502214942</v>
      </c>
    </row>
    <row r="200" spans="1:17" ht="15.75">
      <c r="A200" s="846" t="s">
        <v>694</v>
      </c>
      <c r="B200" s="846" t="s">
        <v>1288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-436.90846931456531</v>
      </c>
      <c r="Q200" s="232">
        <f ca="1">Financeiros!D62</f>
        <v>-436.90846931456531</v>
      </c>
    </row>
    <row r="201" spans="1:17" ht="15.75">
      <c r="A201" s="846" t="s">
        <v>694</v>
      </c>
      <c r="B201" s="846" t="s">
        <v>1288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694</v>
      </c>
      <c r="B202" s="846" t="s">
        <v>1288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694</v>
      </c>
      <c r="B203" s="846" t="s">
        <v>1288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152472.49830000001</v>
      </c>
      <c r="Q203" s="232">
        <f>Financeiros!D65</f>
        <v>152472.49830000001</v>
      </c>
    </row>
    <row r="204" spans="1:17" ht="15.75">
      <c r="A204" s="846" t="s">
        <v>694</v>
      </c>
      <c r="B204" s="846" t="s">
        <v>1288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694</v>
      </c>
      <c r="B205" s="846" t="s">
        <v>1288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694</v>
      </c>
      <c r="B206" s="846" t="s">
        <v>1288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694</v>
      </c>
      <c r="B207" s="846" t="s">
        <v>1288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694</v>
      </c>
      <c r="B208" s="846" t="s">
        <v>1288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694</v>
      </c>
      <c r="B209" s="846" t="s">
        <v>1288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694</v>
      </c>
      <c r="B210" s="846" t="s">
        <v>1288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0</v>
      </c>
      <c r="Q210" s="232">
        <f ca="1">Financeiros!D72</f>
        <v>0</v>
      </c>
    </row>
    <row r="211" spans="1:17" ht="15.75">
      <c r="A211" s="846" t="s">
        <v>694</v>
      </c>
      <c r="B211" s="846" t="s">
        <v>1288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694</v>
      </c>
      <c r="B212" s="846" t="s">
        <v>1288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6" t="s">
        <v>694</v>
      </c>
      <c r="B213" s="846" t="s">
        <v>1288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694</v>
      </c>
      <c r="B214" s="846" t="s">
        <v>1288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694</v>
      </c>
      <c r="B215" s="846" t="s">
        <v>1288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-202804.01580950824</v>
      </c>
      <c r="Q215" s="232">
        <f ca="1">Financeiros!D77</f>
        <v>-202804.01580950824</v>
      </c>
    </row>
    <row r="216" spans="1:17" ht="15.75">
      <c r="A216" s="846" t="s">
        <v>694</v>
      </c>
      <c r="B216" s="846" t="s">
        <v>1288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694</v>
      </c>
      <c r="B217" s="846" t="s">
        <v>1288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-1394.6875831415982</v>
      </c>
      <c r="Q217" s="232">
        <f ca="1">Financeiros!D79</f>
        <v>-1394.6875831415982</v>
      </c>
    </row>
    <row r="218" spans="1:17" ht="15.75">
      <c r="A218" s="846" t="s">
        <v>694</v>
      </c>
      <c r="B218" s="846" t="s">
        <v>1288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-56.362488936650742</v>
      </c>
      <c r="Q218" s="232">
        <f ca="1">Financeiros!D80</f>
        <v>-56.362488936650742</v>
      </c>
    </row>
    <row r="219" spans="1:17" ht="15.75">
      <c r="A219" s="846" t="s">
        <v>694</v>
      </c>
      <c r="B219" s="846" t="s">
        <v>1288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-8195.7703184134862</v>
      </c>
      <c r="Q219" s="232">
        <f ca="1">Financeiros!D81</f>
        <v>-8195.7703184134862</v>
      </c>
    </row>
    <row r="220" spans="1:17" ht="15.75">
      <c r="A220" s="846" t="s">
        <v>694</v>
      </c>
      <c r="B220" s="846" t="s">
        <v>1288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-506050.00032997795</v>
      </c>
      <c r="Q220" s="232">
        <f ca="1">Financeiros!D82</f>
        <v>-506050.00032997795</v>
      </c>
    </row>
    <row r="221" spans="1:17" ht="15.75">
      <c r="A221" s="846" t="s">
        <v>694</v>
      </c>
      <c r="B221" s="846" t="s">
        <v>1288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694</v>
      </c>
      <c r="B222" s="846" t="s">
        <v>1288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-3480.1167476484065</v>
      </c>
      <c r="Q222" s="232">
        <f ca="1">Financeiros!D84</f>
        <v>-3480.1167476484065</v>
      </c>
    </row>
    <row r="223" spans="1:17" ht="15.75">
      <c r="A223" s="846" t="s">
        <v>694</v>
      </c>
      <c r="B223" s="846" t="s">
        <v>1288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-140.6394120508005</v>
      </c>
      <c r="Q223" s="232">
        <f ca="1">Financeiros!D85</f>
        <v>-140.6394120508005</v>
      </c>
    </row>
    <row r="224" spans="1:17" ht="15.75">
      <c r="A224" s="846" t="s">
        <v>694</v>
      </c>
      <c r="B224" s="846" t="s">
        <v>1288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-20450.628434464754</v>
      </c>
      <c r="Q224" s="232">
        <f ca="1">Financeiros!D86</f>
        <v>-20450.628434464754</v>
      </c>
    </row>
    <row r="225" spans="1:17" ht="15.75">
      <c r="A225" s="846" t="s">
        <v>694</v>
      </c>
      <c r="B225" s="846" t="s">
        <v>1288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603070.82552001963</v>
      </c>
      <c r="Q225" s="232">
        <f ca="1">Financeiros!D87</f>
        <v>603070.82552001963</v>
      </c>
    </row>
    <row r="226" spans="1:17" ht="15.75">
      <c r="A226" s="846" t="s">
        <v>694</v>
      </c>
      <c r="B226" s="846" t="s">
        <v>1288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694</v>
      </c>
      <c r="B227" s="846" t="s">
        <v>1288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4147.3310513622018</v>
      </c>
      <c r="Q227" s="232">
        <f ca="1">Financeiros!D89</f>
        <v>4147.3310513622018</v>
      </c>
    </row>
    <row r="228" spans="1:17" ht="15.75">
      <c r="A228" s="846" t="s">
        <v>694</v>
      </c>
      <c r="B228" s="846" t="s">
        <v>1288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167.60305556925428</v>
      </c>
      <c r="Q228" s="232">
        <f ca="1">Financeiros!D90</f>
        <v>167.60305556925428</v>
      </c>
    </row>
    <row r="229" spans="1:17" ht="15.75">
      <c r="A229" s="846" t="s">
        <v>694</v>
      </c>
      <c r="B229" s="846" t="s">
        <v>1288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24371.460061918388</v>
      </c>
      <c r="Q229" s="232">
        <f ca="1">Financeiros!D91</f>
        <v>24371.460061918388</v>
      </c>
    </row>
    <row r="230" spans="1:17" ht="15.75">
      <c r="A230" s="846" t="s">
        <v>694</v>
      </c>
      <c r="B230" s="846" t="s">
        <v>1288</v>
      </c>
      <c r="C230" s="846" t="str">
        <f>Financeiros!C92</f>
        <v>Diferimento da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694</v>
      </c>
      <c r="B231" s="846" t="s">
        <v>1288</v>
      </c>
      <c r="C231" s="846" t="str">
        <f>Financeiros!C93</f>
        <v>Diferimento da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694</v>
      </c>
      <c r="B232" s="846" t="s">
        <v>1288</v>
      </c>
      <c r="C232" s="846" t="str">
        <f>Financeiros!C94</f>
        <v>Diferimento da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694</v>
      </c>
      <c r="B233" s="846" t="s">
        <v>1288</v>
      </c>
      <c r="C233" s="846" t="str">
        <f>Financeiros!C95</f>
        <v>Diferimento da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694</v>
      </c>
      <c r="B234" s="846" t="s">
        <v>1288</v>
      </c>
      <c r="C234" s="846" t="str">
        <f>Financeiros!C96</f>
        <v>Diferimento da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694</v>
      </c>
      <c r="B235" s="846" t="s">
        <v>1288</v>
      </c>
      <c r="C235" s="846" t="str">
        <f>Financeiros!C97</f>
        <v xml:space="preserve">Diferimento CUSD 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>
      <c r="A236" s="846" t="s">
        <v>694</v>
      </c>
      <c r="B236" s="846" t="s">
        <v>1288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694</v>
      </c>
      <c r="B237" s="846" t="s">
        <v>1288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694</v>
      </c>
      <c r="B238" s="846" t="s">
        <v>1288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75" t="s">
        <v>1473</v>
      </c>
      <c r="B239" s="1676" t="s">
        <v>1473</v>
      </c>
      <c r="C239" s="1676" t="s">
        <v>1473</v>
      </c>
      <c r="D239" s="1676">
        <v>99</v>
      </c>
      <c r="E239" s="1676">
        <v>99</v>
      </c>
      <c r="F239" s="1676">
        <v>999</v>
      </c>
      <c r="G239" s="1676">
        <v>999999</v>
      </c>
      <c r="H239" s="1676">
        <v>999</v>
      </c>
      <c r="I239" s="1676">
        <v>99</v>
      </c>
      <c r="J239" s="1676">
        <v>999</v>
      </c>
      <c r="K239" s="1676">
        <v>9</v>
      </c>
      <c r="L239" s="1676">
        <v>99</v>
      </c>
      <c r="M239" s="1676">
        <v>9</v>
      </c>
      <c r="N239" s="1676">
        <v>99</v>
      </c>
      <c r="O239" s="1673">
        <v>99999</v>
      </c>
      <c r="P239" s="1677">
        <f>IF(ISNUMBER(Q239),Q239,0)</f>
        <v>0</v>
      </c>
      <c r="Q239" s="1678">
        <v>0</v>
      </c>
    </row>
    <row r="240" spans="1:17" ht="15.75">
      <c r="A240" s="1675" t="s">
        <v>1473</v>
      </c>
      <c r="B240" s="1676" t="s">
        <v>1473</v>
      </c>
      <c r="C240" s="1676" t="s">
        <v>1473</v>
      </c>
      <c r="D240" s="1676">
        <v>99</v>
      </c>
      <c r="E240" s="1676">
        <v>99</v>
      </c>
      <c r="F240" s="1676">
        <v>999</v>
      </c>
      <c r="G240" s="1676">
        <v>999999</v>
      </c>
      <c r="H240" s="1676">
        <v>999</v>
      </c>
      <c r="I240" s="1676">
        <v>99</v>
      </c>
      <c r="J240" s="1676">
        <v>999</v>
      </c>
      <c r="K240" s="1676">
        <v>9</v>
      </c>
      <c r="L240" s="1676">
        <v>99</v>
      </c>
      <c r="M240" s="1676">
        <v>9</v>
      </c>
      <c r="N240" s="1676">
        <v>99</v>
      </c>
      <c r="O240" s="1673">
        <v>99999</v>
      </c>
      <c r="P240" s="1677">
        <f>IF(ISNUMBER(Q240),Q240,0)</f>
        <v>0</v>
      </c>
      <c r="Q240" s="1678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694</v>
      </c>
      <c r="B1677" t="s">
        <v>715</v>
      </c>
      <c r="C1677" s="9" t="s">
        <v>1507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694</v>
      </c>
      <c r="B1678" t="s">
        <v>715</v>
      </c>
      <c r="C1678" s="9" t="s">
        <v>1508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694</v>
      </c>
      <c r="B1679" t="s">
        <v>715</v>
      </c>
      <c r="C1679" s="9" t="s">
        <v>1509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694</v>
      </c>
      <c r="B1680" t="s">
        <v>715</v>
      </c>
      <c r="C1680" s="9" t="s">
        <v>1510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694</v>
      </c>
      <c r="B1681" t="s">
        <v>715</v>
      </c>
      <c r="C1681" s="9" t="s">
        <v>1511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694</v>
      </c>
      <c r="B1682" t="s">
        <v>715</v>
      </c>
      <c r="C1682" s="9" t="s">
        <v>1512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88" t="s">
        <v>1513</v>
      </c>
      <c r="B1" s="493">
        <f>YEAR(SAS_RA0_DataInicio)*100+MONTH(SAS_RA0_DataInicio)</f>
        <v>202109</v>
      </c>
      <c r="D1" s="1388" t="s">
        <v>1514</v>
      </c>
      <c r="E1" s="1388" t="s">
        <v>1515</v>
      </c>
      <c r="F1" s="1388" t="s">
        <v>1516</v>
      </c>
    </row>
    <row r="2" spans="1:138" ht="15.75">
      <c r="A2" s="1388" t="s">
        <v>1517</v>
      </c>
      <c r="B2" s="493">
        <f>YEAR(SAS_RA0_DataFim)*100+MONTH(SAS_RA0_DataFim)</f>
        <v>202208</v>
      </c>
      <c r="D2" s="1389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0" t="s">
        <v>189</v>
      </c>
      <c r="B3" s="495">
        <f>YEAR(SAS_RA0_DataFim)*100+MONTH(SAS_RA0_DataFim)-MAX(C:C)+1</f>
        <v>202209</v>
      </c>
      <c r="D3" s="1389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1518</v>
      </c>
      <c r="B4" s="510" t="s">
        <v>1519</v>
      </c>
    </row>
    <row r="6" spans="1:138" ht="15.75">
      <c r="A6" s="767"/>
      <c r="B6" s="768"/>
      <c r="C6" s="768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1" t="s">
        <v>1520</v>
      </c>
      <c r="B1" s="1392">
        <v>0</v>
      </c>
    </row>
    <row r="2" spans="1:2">
      <c r="A2" s="1391" t="s">
        <v>1521</v>
      </c>
      <c r="B2" s="1392">
        <v>0</v>
      </c>
    </row>
    <row r="3" spans="1:2">
      <c r="A3" s="1391" t="s">
        <v>1522</v>
      </c>
      <c r="B3" s="1392">
        <v>0</v>
      </c>
    </row>
    <row r="4" spans="1:2">
      <c r="A4" s="1391" t="s">
        <v>1523</v>
      </c>
      <c r="B4" s="1392">
        <v>0</v>
      </c>
    </row>
    <row r="5" spans="1:2">
      <c r="A5" s="1391" t="s">
        <v>1524</v>
      </c>
      <c r="B5" s="1392">
        <v>0</v>
      </c>
    </row>
    <row r="6" spans="1:2">
      <c r="A6" s="1391" t="s">
        <v>1525</v>
      </c>
      <c r="B6" s="1392">
        <v>0</v>
      </c>
    </row>
    <row r="7" spans="1:2">
      <c r="A7" s="1391" t="s">
        <v>1526</v>
      </c>
      <c r="B7" s="1392">
        <v>0</v>
      </c>
    </row>
    <row r="8" spans="1:2">
      <c r="A8" s="1391" t="s">
        <v>1527</v>
      </c>
      <c r="B8" s="1392">
        <v>0</v>
      </c>
    </row>
    <row r="9" spans="1:2">
      <c r="A9" s="1391" t="s">
        <v>1528</v>
      </c>
      <c r="B9" s="1392">
        <v>0.45</v>
      </c>
    </row>
    <row r="10" spans="1:2">
      <c r="A10" s="1391" t="s">
        <v>1529</v>
      </c>
      <c r="B10" s="1392">
        <v>0.4</v>
      </c>
    </row>
    <row r="11" spans="1:2">
      <c r="A11" s="1391" t="s">
        <v>1530</v>
      </c>
      <c r="B11" s="1391">
        <v>0.65</v>
      </c>
    </row>
    <row r="12" spans="1:2">
      <c r="A12" s="1391" t="s">
        <v>1531</v>
      </c>
      <c r="B12" s="1391">
        <v>0.4</v>
      </c>
    </row>
    <row r="13" spans="1:2">
      <c r="A13" s="1391" t="s">
        <v>1532</v>
      </c>
      <c r="B13" s="1391">
        <v>0.1</v>
      </c>
    </row>
    <row r="14" spans="1:2">
      <c r="A14" s="1391" t="s">
        <v>1533</v>
      </c>
      <c r="B14" s="1391">
        <v>0</v>
      </c>
    </row>
    <row r="15" spans="1:2">
      <c r="A15" s="1391" t="s">
        <v>1534</v>
      </c>
      <c r="B15" s="1391">
        <v>0.3</v>
      </c>
    </row>
    <row r="16" spans="1:2">
      <c r="A16" s="1391" t="s">
        <v>1535</v>
      </c>
      <c r="B16" s="1391">
        <v>0.3</v>
      </c>
    </row>
    <row r="17" spans="1:13">
      <c r="A17" s="1391" t="s">
        <v>1536</v>
      </c>
      <c r="B17" s="1391">
        <v>0.4</v>
      </c>
    </row>
    <row r="20" spans="1:13" ht="15">
      <c r="D20" s="1393" t="s">
        <v>1375</v>
      </c>
      <c r="E20" s="1393" t="s">
        <v>958</v>
      </c>
      <c r="F20" s="1393" t="s">
        <v>1537</v>
      </c>
      <c r="G20" s="1393" t="s">
        <v>1538</v>
      </c>
      <c r="H20" s="1393" t="s">
        <v>1539</v>
      </c>
      <c r="I20" s="1393" t="s">
        <v>1540</v>
      </c>
      <c r="J20" s="1393" t="s">
        <v>1541</v>
      </c>
      <c r="K20" s="1393" t="s">
        <v>1542</v>
      </c>
      <c r="L20" s="1393" t="s">
        <v>1543</v>
      </c>
      <c r="M20" s="1393" t="s">
        <v>1042</v>
      </c>
    </row>
    <row r="21" spans="1:13" ht="30" hidden="1">
      <c r="D21" s="1394">
        <v>26</v>
      </c>
      <c r="E21" s="1395" t="s">
        <v>1544</v>
      </c>
      <c r="F21" s="1395" t="s">
        <v>113</v>
      </c>
      <c r="G21" s="1396">
        <v>41243</v>
      </c>
      <c r="H21" s="1397">
        <v>41243</v>
      </c>
      <c r="I21" s="1395" t="s">
        <v>961</v>
      </c>
      <c r="J21" s="1395" t="s">
        <v>114</v>
      </c>
      <c r="K21" s="1394">
        <v>1663</v>
      </c>
      <c r="L21" s="1395" t="s">
        <v>1545</v>
      </c>
      <c r="M21" s="1395" t="s">
        <v>1546</v>
      </c>
    </row>
    <row r="22" spans="1:13" ht="30" hidden="1">
      <c r="D22" s="1394">
        <v>28</v>
      </c>
      <c r="E22" s="1395" t="s">
        <v>1547</v>
      </c>
      <c r="F22" s="1395" t="s">
        <v>1548</v>
      </c>
      <c r="G22" s="1396">
        <v>41214</v>
      </c>
      <c r="H22" s="470"/>
      <c r="I22" s="1395" t="s">
        <v>961</v>
      </c>
      <c r="J22" s="1395" t="s">
        <v>114</v>
      </c>
      <c r="K22" s="1394">
        <v>1665</v>
      </c>
      <c r="L22" s="1395" t="s">
        <v>114</v>
      </c>
      <c r="M22" s="1395" t="s">
        <v>1546</v>
      </c>
    </row>
    <row r="23" spans="1:13" ht="30" hidden="1">
      <c r="D23" s="1394">
        <v>31</v>
      </c>
      <c r="E23" s="1395" t="s">
        <v>1549</v>
      </c>
      <c r="F23" s="1395" t="s">
        <v>115</v>
      </c>
      <c r="G23" s="1396">
        <v>41243</v>
      </c>
      <c r="H23" s="470"/>
      <c r="I23" s="1395" t="s">
        <v>961</v>
      </c>
      <c r="J23" s="1395" t="s">
        <v>114</v>
      </c>
      <c r="K23" s="1394">
        <v>1666</v>
      </c>
      <c r="L23" s="1395" t="s">
        <v>114</v>
      </c>
      <c r="M23" s="1395" t="s">
        <v>1546</v>
      </c>
    </row>
    <row r="24" spans="1:13" ht="30" hidden="1">
      <c r="D24" s="1394">
        <v>32</v>
      </c>
      <c r="E24" s="1395" t="s">
        <v>1550</v>
      </c>
      <c r="F24" s="1395" t="s">
        <v>116</v>
      </c>
      <c r="G24" s="1396">
        <v>41094</v>
      </c>
      <c r="H24" s="470"/>
      <c r="I24" s="1395" t="s">
        <v>961</v>
      </c>
      <c r="J24" s="1395" t="s">
        <v>114</v>
      </c>
      <c r="K24" s="1394">
        <v>1668</v>
      </c>
      <c r="L24" s="1395" t="s">
        <v>1551</v>
      </c>
      <c r="M24" s="1395" t="s">
        <v>1546</v>
      </c>
    </row>
    <row r="25" spans="1:13" ht="30" hidden="1">
      <c r="D25" s="1394">
        <v>37</v>
      </c>
      <c r="E25" s="1395" t="s">
        <v>1552</v>
      </c>
      <c r="F25" s="1395" t="s">
        <v>117</v>
      </c>
      <c r="G25" s="1396">
        <v>41149</v>
      </c>
      <c r="H25" s="470"/>
      <c r="I25" s="1395" t="s">
        <v>961</v>
      </c>
      <c r="J25" s="1395" t="s">
        <v>114</v>
      </c>
      <c r="K25" s="1394">
        <v>1669</v>
      </c>
      <c r="L25" s="1395" t="s">
        <v>1553</v>
      </c>
      <c r="M25" s="1395" t="s">
        <v>1546</v>
      </c>
    </row>
    <row r="26" spans="1:13" ht="30" hidden="1">
      <c r="D26" s="1394">
        <v>38</v>
      </c>
      <c r="E26" s="1395" t="s">
        <v>1554</v>
      </c>
      <c r="F26" s="1395" t="s">
        <v>118</v>
      </c>
      <c r="G26" s="1396">
        <v>41180</v>
      </c>
      <c r="H26" s="1397">
        <v>41149</v>
      </c>
      <c r="I26" s="1395" t="s">
        <v>961</v>
      </c>
      <c r="J26" s="1395" t="s">
        <v>114</v>
      </c>
      <c r="K26" s="1394">
        <v>1670</v>
      </c>
      <c r="L26" s="1395" t="s">
        <v>1555</v>
      </c>
      <c r="M26" s="1395" t="s">
        <v>1546</v>
      </c>
    </row>
    <row r="27" spans="1:13" ht="30" hidden="1">
      <c r="D27" s="1394">
        <v>39</v>
      </c>
      <c r="E27" s="1395" t="s">
        <v>1556</v>
      </c>
      <c r="F27" s="1395" t="s">
        <v>1557</v>
      </c>
      <c r="G27" s="1396">
        <v>41021</v>
      </c>
      <c r="H27" s="470"/>
      <c r="I27" s="1395" t="s">
        <v>961</v>
      </c>
      <c r="J27" s="1395" t="s">
        <v>114</v>
      </c>
      <c r="K27" s="1394">
        <v>1671</v>
      </c>
      <c r="L27" s="1395" t="s">
        <v>1558</v>
      </c>
      <c r="M27" s="1395" t="s">
        <v>1546</v>
      </c>
    </row>
    <row r="28" spans="1:13" ht="30" hidden="1">
      <c r="D28" s="1394">
        <v>40</v>
      </c>
      <c r="E28" s="1395" t="s">
        <v>1559</v>
      </c>
      <c r="F28" s="1395" t="s">
        <v>119</v>
      </c>
      <c r="G28" s="1396">
        <v>41021</v>
      </c>
      <c r="H28" s="470"/>
      <c r="I28" s="1395" t="s">
        <v>961</v>
      </c>
      <c r="J28" s="1395" t="s">
        <v>114</v>
      </c>
      <c r="K28" s="1394">
        <v>1672</v>
      </c>
      <c r="L28" s="1395" t="s">
        <v>1560</v>
      </c>
      <c r="M28" s="1395" t="s">
        <v>1546</v>
      </c>
    </row>
    <row r="29" spans="1:13" ht="30" hidden="1">
      <c r="D29" s="1394">
        <v>43</v>
      </c>
      <c r="E29" s="1395" t="s">
        <v>1561</v>
      </c>
      <c r="F29" s="1395" t="s">
        <v>120</v>
      </c>
      <c r="G29" s="1396">
        <v>41028</v>
      </c>
      <c r="H29" s="470"/>
      <c r="I29" s="1395" t="s">
        <v>961</v>
      </c>
      <c r="J29" s="1395" t="s">
        <v>114</v>
      </c>
      <c r="K29" s="1394">
        <v>1674</v>
      </c>
      <c r="L29" s="1395" t="s">
        <v>1562</v>
      </c>
      <c r="M29" s="1395" t="s">
        <v>1546</v>
      </c>
    </row>
    <row r="30" spans="1:13" ht="30" hidden="1">
      <c r="D30" s="1394">
        <v>44</v>
      </c>
      <c r="E30" s="1395" t="s">
        <v>1563</v>
      </c>
      <c r="F30" s="1395" t="s">
        <v>121</v>
      </c>
      <c r="G30" s="1396">
        <v>41180</v>
      </c>
      <c r="H30" s="470"/>
      <c r="I30" s="1395" t="s">
        <v>961</v>
      </c>
      <c r="J30" s="1395" t="s">
        <v>114</v>
      </c>
      <c r="K30" s="1394">
        <v>1675</v>
      </c>
      <c r="L30" s="1395" t="s">
        <v>1564</v>
      </c>
      <c r="M30" s="1395" t="s">
        <v>1546</v>
      </c>
    </row>
    <row r="31" spans="1:13" ht="30" hidden="1">
      <c r="D31" s="1394">
        <v>46</v>
      </c>
      <c r="E31" s="1395" t="s">
        <v>1565</v>
      </c>
      <c r="F31" s="1395" t="s">
        <v>122</v>
      </c>
      <c r="G31" s="1396">
        <v>41051</v>
      </c>
      <c r="H31" s="1397">
        <v>41257</v>
      </c>
      <c r="I31" s="1395" t="s">
        <v>961</v>
      </c>
      <c r="J31" s="1395" t="s">
        <v>1566</v>
      </c>
      <c r="K31" s="1394">
        <v>1676</v>
      </c>
      <c r="L31" s="1395" t="s">
        <v>1567</v>
      </c>
      <c r="M31" s="1395" t="s">
        <v>1546</v>
      </c>
    </row>
    <row r="32" spans="1:13" ht="30" hidden="1">
      <c r="D32" s="1394">
        <v>47</v>
      </c>
      <c r="E32" s="1395" t="s">
        <v>1568</v>
      </c>
      <c r="F32" s="1395" t="s">
        <v>123</v>
      </c>
      <c r="G32" s="1396">
        <v>41021</v>
      </c>
      <c r="H32" s="470"/>
      <c r="I32" s="1395" t="s">
        <v>961</v>
      </c>
      <c r="J32" s="1395" t="s">
        <v>114</v>
      </c>
      <c r="K32" s="1394">
        <v>1677</v>
      </c>
      <c r="L32" s="1395" t="s">
        <v>1569</v>
      </c>
      <c r="M32" s="1395" t="s">
        <v>1546</v>
      </c>
    </row>
    <row r="33" spans="4:13" ht="15" hidden="1">
      <c r="D33" s="1394">
        <v>51</v>
      </c>
      <c r="E33" s="1395" t="s">
        <v>1570</v>
      </c>
      <c r="F33" s="1395" t="s">
        <v>124</v>
      </c>
      <c r="G33" s="1396">
        <v>41235</v>
      </c>
      <c r="H33" s="1397">
        <v>41210</v>
      </c>
      <c r="I33" s="1395" t="s">
        <v>961</v>
      </c>
      <c r="J33" s="1395" t="s">
        <v>1566</v>
      </c>
      <c r="K33" s="1394">
        <v>1682</v>
      </c>
      <c r="L33" s="1395" t="s">
        <v>1571</v>
      </c>
      <c r="M33" s="1395" t="s">
        <v>1546</v>
      </c>
    </row>
    <row r="34" spans="4:13" ht="15" hidden="1">
      <c r="D34" s="1394">
        <v>56</v>
      </c>
      <c r="E34" s="1395" t="s">
        <v>1572</v>
      </c>
      <c r="F34" s="1395" t="s">
        <v>1573</v>
      </c>
      <c r="G34" s="470"/>
      <c r="H34" s="470"/>
      <c r="I34" s="1395" t="s">
        <v>961</v>
      </c>
      <c r="J34" s="1395" t="s">
        <v>114</v>
      </c>
      <c r="K34" s="1394">
        <v>1683</v>
      </c>
      <c r="L34" s="1395" t="s">
        <v>114</v>
      </c>
      <c r="M34" s="1395" t="s">
        <v>1546</v>
      </c>
    </row>
    <row r="35" spans="4:13" ht="30" hidden="1">
      <c r="D35" s="1394">
        <v>63</v>
      </c>
      <c r="E35" s="1395" t="s">
        <v>1574</v>
      </c>
      <c r="F35" s="1395" t="s">
        <v>125</v>
      </c>
      <c r="G35" s="1396">
        <v>41007</v>
      </c>
      <c r="H35" s="470"/>
      <c r="I35" s="1395" t="s">
        <v>961</v>
      </c>
      <c r="J35" s="1395" t="s">
        <v>114</v>
      </c>
      <c r="K35" s="1394">
        <v>1688</v>
      </c>
      <c r="L35" s="1395" t="s">
        <v>1575</v>
      </c>
      <c r="M35" s="1395" t="s">
        <v>1546</v>
      </c>
    </row>
    <row r="36" spans="4:13" ht="30" hidden="1">
      <c r="D36" s="1394">
        <v>69</v>
      </c>
      <c r="E36" s="1395" t="s">
        <v>1576</v>
      </c>
      <c r="F36" s="1395" t="s">
        <v>1577</v>
      </c>
      <c r="G36" s="1396">
        <v>40990</v>
      </c>
      <c r="H36" s="1397">
        <v>42038</v>
      </c>
      <c r="I36" s="1395" t="s">
        <v>961</v>
      </c>
      <c r="J36" s="1395" t="s">
        <v>114</v>
      </c>
      <c r="K36" s="1394">
        <v>1692</v>
      </c>
      <c r="L36" s="1395" t="s">
        <v>1578</v>
      </c>
      <c r="M36" s="1395" t="s">
        <v>1546</v>
      </c>
    </row>
    <row r="37" spans="4:13" ht="30" hidden="1">
      <c r="D37" s="1394">
        <v>70</v>
      </c>
      <c r="E37" s="1395" t="s">
        <v>1579</v>
      </c>
      <c r="F37" s="1395" t="s">
        <v>1580</v>
      </c>
      <c r="G37" s="1396">
        <v>40990</v>
      </c>
      <c r="H37" s="1397">
        <v>42038</v>
      </c>
      <c r="I37" s="1395" t="s">
        <v>961</v>
      </c>
      <c r="J37" s="1395" t="s">
        <v>114</v>
      </c>
      <c r="K37" s="1394">
        <v>1693</v>
      </c>
      <c r="L37" s="1395" t="s">
        <v>1581</v>
      </c>
      <c r="M37" s="1395" t="s">
        <v>1546</v>
      </c>
    </row>
    <row r="38" spans="4:13" ht="30" hidden="1">
      <c r="D38" s="1394">
        <v>71</v>
      </c>
      <c r="E38" s="1395" t="s">
        <v>1582</v>
      </c>
      <c r="F38" s="1395" t="s">
        <v>1583</v>
      </c>
      <c r="G38" s="1396">
        <v>40990</v>
      </c>
      <c r="H38" s="1397">
        <v>42038</v>
      </c>
      <c r="I38" s="1395" t="s">
        <v>961</v>
      </c>
      <c r="J38" s="1395" t="s">
        <v>114</v>
      </c>
      <c r="K38" s="1394">
        <v>1694</v>
      </c>
      <c r="L38" s="1395" t="s">
        <v>1584</v>
      </c>
      <c r="M38" s="1395" t="s">
        <v>1546</v>
      </c>
    </row>
    <row r="39" spans="4:13" ht="30" hidden="1">
      <c r="D39" s="1394">
        <v>72</v>
      </c>
      <c r="E39" s="1395" t="s">
        <v>1585</v>
      </c>
      <c r="F39" s="1395" t="s">
        <v>166</v>
      </c>
      <c r="G39" s="1396">
        <v>40990</v>
      </c>
      <c r="H39" s="1397">
        <v>42038</v>
      </c>
      <c r="I39" s="1395" t="s">
        <v>961</v>
      </c>
      <c r="J39" s="1395" t="s">
        <v>114</v>
      </c>
      <c r="K39" s="1394">
        <v>1695</v>
      </c>
      <c r="L39" s="1395" t="s">
        <v>1586</v>
      </c>
      <c r="M39" s="1395" t="s">
        <v>1546</v>
      </c>
    </row>
    <row r="40" spans="4:13" ht="30" hidden="1">
      <c r="D40" s="1394">
        <v>73</v>
      </c>
      <c r="E40" s="1395" t="s">
        <v>1587</v>
      </c>
      <c r="F40" s="1395" t="s">
        <v>1588</v>
      </c>
      <c r="G40" s="1396">
        <v>40990</v>
      </c>
      <c r="H40" s="1397">
        <v>42038</v>
      </c>
      <c r="I40" s="1395" t="s">
        <v>961</v>
      </c>
      <c r="J40" s="1395" t="s">
        <v>1566</v>
      </c>
      <c r="K40" s="1394">
        <v>1696</v>
      </c>
      <c r="L40" s="1395" t="s">
        <v>1589</v>
      </c>
      <c r="M40" s="1395" t="s">
        <v>1546</v>
      </c>
    </row>
    <row r="41" spans="4:13" ht="30" hidden="1">
      <c r="D41" s="1394">
        <v>75</v>
      </c>
      <c r="E41" s="1395" t="s">
        <v>1590</v>
      </c>
      <c r="F41" s="1395" t="s">
        <v>1591</v>
      </c>
      <c r="G41" s="1396">
        <v>41039</v>
      </c>
      <c r="H41" s="470"/>
      <c r="I41" s="1395" t="s">
        <v>961</v>
      </c>
      <c r="J41" s="1395" t="s">
        <v>114</v>
      </c>
      <c r="K41" s="1394">
        <v>1697</v>
      </c>
      <c r="L41" s="1395" t="s">
        <v>1592</v>
      </c>
      <c r="M41" s="1395" t="s">
        <v>1546</v>
      </c>
    </row>
    <row r="42" spans="4:13" ht="30" hidden="1">
      <c r="D42" s="1394">
        <v>82</v>
      </c>
      <c r="E42" s="1395" t="s">
        <v>1593</v>
      </c>
      <c r="F42" s="1395" t="s">
        <v>126</v>
      </c>
      <c r="G42" s="1396">
        <v>41089</v>
      </c>
      <c r="H42" s="1397">
        <v>41084</v>
      </c>
      <c r="I42" s="1395" t="s">
        <v>961</v>
      </c>
      <c r="J42" s="1395" t="s">
        <v>1566</v>
      </c>
      <c r="K42" s="1394">
        <v>1701</v>
      </c>
      <c r="L42" s="1395" t="s">
        <v>1594</v>
      </c>
      <c r="M42" s="1395" t="s">
        <v>1546</v>
      </c>
    </row>
    <row r="43" spans="4:13" ht="30" hidden="1">
      <c r="D43" s="1394">
        <v>83</v>
      </c>
      <c r="E43" s="1395" t="s">
        <v>1595</v>
      </c>
      <c r="F43" s="1395" t="s">
        <v>168</v>
      </c>
      <c r="G43" s="1396">
        <v>41147</v>
      </c>
      <c r="H43" s="470"/>
      <c r="I43" s="1395" t="s">
        <v>961</v>
      </c>
      <c r="J43" s="1395" t="s">
        <v>1566</v>
      </c>
      <c r="K43" s="1394">
        <v>1702</v>
      </c>
      <c r="L43" s="1395" t="s">
        <v>1596</v>
      </c>
      <c r="M43" s="1395" t="s">
        <v>1546</v>
      </c>
    </row>
    <row r="44" spans="4:13" ht="30" hidden="1">
      <c r="D44" s="1394">
        <v>84</v>
      </c>
      <c r="E44" s="1395" t="s">
        <v>1597</v>
      </c>
      <c r="F44" s="1395" t="s">
        <v>1598</v>
      </c>
      <c r="G44" s="1396">
        <v>41089</v>
      </c>
      <c r="H44" s="470"/>
      <c r="I44" s="1395" t="s">
        <v>961</v>
      </c>
      <c r="J44" s="1395" t="s">
        <v>1566</v>
      </c>
      <c r="K44" s="1394">
        <v>1703</v>
      </c>
      <c r="L44" s="1395" t="s">
        <v>1599</v>
      </c>
      <c r="M44" s="1395" t="s">
        <v>1546</v>
      </c>
    </row>
    <row r="45" spans="4:13" ht="30" hidden="1">
      <c r="D45" s="1394">
        <v>86</v>
      </c>
      <c r="E45" s="1395" t="s">
        <v>1600</v>
      </c>
      <c r="F45" s="1395" t="s">
        <v>127</v>
      </c>
      <c r="G45" s="1396">
        <v>41150</v>
      </c>
      <c r="H45" s="1397">
        <v>41865</v>
      </c>
      <c r="I45" s="1395" t="s">
        <v>961</v>
      </c>
      <c r="J45" s="1395" t="s">
        <v>1566</v>
      </c>
      <c r="K45" s="1394">
        <v>1704</v>
      </c>
      <c r="L45" s="1395" t="s">
        <v>1601</v>
      </c>
      <c r="M45" s="1395" t="s">
        <v>1546</v>
      </c>
    </row>
    <row r="46" spans="4:13" ht="30" hidden="1">
      <c r="D46" s="1394">
        <v>87</v>
      </c>
      <c r="E46" s="1395" t="s">
        <v>1602</v>
      </c>
      <c r="F46" s="1395" t="s">
        <v>128</v>
      </c>
      <c r="G46" s="1396">
        <v>41150</v>
      </c>
      <c r="H46" s="1397">
        <v>41128</v>
      </c>
      <c r="I46" s="1395" t="s">
        <v>961</v>
      </c>
      <c r="J46" s="1395" t="s">
        <v>1566</v>
      </c>
      <c r="K46" s="1394">
        <v>1705</v>
      </c>
      <c r="L46" s="1395" t="s">
        <v>1603</v>
      </c>
      <c r="M46" s="1395" t="s">
        <v>1546</v>
      </c>
    </row>
    <row r="47" spans="4:13" ht="30" hidden="1">
      <c r="D47" s="1394">
        <v>88</v>
      </c>
      <c r="E47" s="1395" t="s">
        <v>1604</v>
      </c>
      <c r="F47" s="1395" t="s">
        <v>1605</v>
      </c>
      <c r="G47" s="1396">
        <v>41150</v>
      </c>
      <c r="H47" s="1397">
        <v>41865</v>
      </c>
      <c r="I47" s="1395" t="s">
        <v>961</v>
      </c>
      <c r="J47" s="1395" t="s">
        <v>1566</v>
      </c>
      <c r="K47" s="1394">
        <v>1706</v>
      </c>
      <c r="L47" s="1395" t="s">
        <v>1606</v>
      </c>
      <c r="M47" s="1395" t="s">
        <v>1546</v>
      </c>
    </row>
    <row r="48" spans="4:13" ht="15" hidden="1">
      <c r="D48" s="1394">
        <v>95</v>
      </c>
      <c r="E48" s="1395" t="s">
        <v>1607</v>
      </c>
      <c r="F48" s="1395" t="s">
        <v>129</v>
      </c>
      <c r="G48" s="1396">
        <v>41112</v>
      </c>
      <c r="H48" s="1397">
        <v>41089</v>
      </c>
      <c r="I48" s="1395" t="s">
        <v>961</v>
      </c>
      <c r="J48" s="1395" t="s">
        <v>1566</v>
      </c>
      <c r="K48" s="1394">
        <v>1708</v>
      </c>
      <c r="L48" s="1395" t="s">
        <v>1608</v>
      </c>
      <c r="M48" s="1395" t="s">
        <v>1546</v>
      </c>
    </row>
    <row r="49" spans="4:13" ht="30" hidden="1">
      <c r="D49" s="1394">
        <v>103</v>
      </c>
      <c r="E49" s="1395" t="s">
        <v>1609</v>
      </c>
      <c r="F49" s="1395" t="s">
        <v>130</v>
      </c>
      <c r="G49" s="1396">
        <v>41235</v>
      </c>
      <c r="H49" s="1397">
        <v>41164</v>
      </c>
      <c r="I49" s="1395" t="s">
        <v>961</v>
      </c>
      <c r="J49" s="1395" t="s">
        <v>1566</v>
      </c>
      <c r="K49" s="1394">
        <v>1710</v>
      </c>
      <c r="L49" s="1395" t="s">
        <v>1610</v>
      </c>
      <c r="M49" s="1395" t="s">
        <v>1546</v>
      </c>
    </row>
    <row r="50" spans="4:13" ht="30">
      <c r="D50" s="1394">
        <v>213</v>
      </c>
      <c r="E50" s="1395" t="s">
        <v>1611</v>
      </c>
      <c r="F50" s="1395" t="s">
        <v>1612</v>
      </c>
      <c r="G50" s="470"/>
      <c r="H50" s="470"/>
      <c r="I50" s="1395" t="s">
        <v>961</v>
      </c>
      <c r="J50" s="1395" t="s">
        <v>114</v>
      </c>
      <c r="K50" s="1394">
        <v>1757</v>
      </c>
      <c r="L50" s="1395" t="s">
        <v>114</v>
      </c>
      <c r="M50" s="1395" t="s">
        <v>1172</v>
      </c>
    </row>
    <row r="51" spans="4:13" ht="30" hidden="1">
      <c r="D51" s="1394">
        <v>369</v>
      </c>
      <c r="E51" s="1395" t="s">
        <v>1613</v>
      </c>
      <c r="F51" s="1395" t="s">
        <v>131</v>
      </c>
      <c r="G51" s="1396">
        <v>41243</v>
      </c>
      <c r="H51" s="1397">
        <v>41243</v>
      </c>
      <c r="I51" s="1395" t="s">
        <v>961</v>
      </c>
      <c r="J51" s="1395" t="s">
        <v>114</v>
      </c>
      <c r="K51" s="1394">
        <v>1770</v>
      </c>
      <c r="L51" s="1395" t="s">
        <v>1614</v>
      </c>
      <c r="M51" s="1395" t="s">
        <v>1546</v>
      </c>
    </row>
    <row r="52" spans="4:13" ht="15" hidden="1">
      <c r="D52" s="1394">
        <v>370</v>
      </c>
      <c r="E52" s="1395" t="s">
        <v>1615</v>
      </c>
      <c r="F52" s="1395" t="s">
        <v>1616</v>
      </c>
      <c r="G52" s="1396">
        <v>41214</v>
      </c>
      <c r="H52" s="1397">
        <v>41214</v>
      </c>
      <c r="I52" s="1395" t="s">
        <v>961</v>
      </c>
      <c r="J52" s="1395" t="s">
        <v>114</v>
      </c>
      <c r="K52" s="1394">
        <v>1771</v>
      </c>
      <c r="L52" s="1395" t="s">
        <v>1617</v>
      </c>
      <c r="M52" s="1395" t="s">
        <v>1546</v>
      </c>
    </row>
    <row r="53" spans="4:13" ht="30" hidden="1">
      <c r="D53" s="1394">
        <v>371</v>
      </c>
      <c r="E53" s="1395" t="s">
        <v>1618</v>
      </c>
      <c r="F53" s="1395" t="s">
        <v>132</v>
      </c>
      <c r="G53" s="1396">
        <v>40762</v>
      </c>
      <c r="H53" s="470"/>
      <c r="I53" s="1395" t="s">
        <v>961</v>
      </c>
      <c r="J53" s="1395" t="s">
        <v>114</v>
      </c>
      <c r="K53" s="1394">
        <v>1772</v>
      </c>
      <c r="L53" s="1395" t="s">
        <v>1619</v>
      </c>
      <c r="M53" s="1395" t="s">
        <v>1546</v>
      </c>
    </row>
    <row r="54" spans="4:13" ht="30" hidden="1">
      <c r="D54" s="1394">
        <v>380</v>
      </c>
      <c r="E54" s="1395" t="s">
        <v>1620</v>
      </c>
      <c r="F54" s="1395" t="s">
        <v>1621</v>
      </c>
      <c r="G54" s="1396">
        <v>41128</v>
      </c>
      <c r="H54" s="470"/>
      <c r="I54" s="1395" t="s">
        <v>961</v>
      </c>
      <c r="J54" s="1395" t="s">
        <v>114</v>
      </c>
      <c r="K54" s="1394">
        <v>1777</v>
      </c>
      <c r="L54" s="1395" t="s">
        <v>1622</v>
      </c>
      <c r="M54" s="1395" t="s">
        <v>1546</v>
      </c>
    </row>
    <row r="55" spans="4:13" ht="30" hidden="1">
      <c r="D55" s="1394">
        <v>381</v>
      </c>
      <c r="E55" s="1395" t="s">
        <v>1623</v>
      </c>
      <c r="F55" s="1395" t="s">
        <v>133</v>
      </c>
      <c r="G55" s="1396">
        <v>41143</v>
      </c>
      <c r="H55" s="1397">
        <v>41136</v>
      </c>
      <c r="I55" s="1395" t="s">
        <v>961</v>
      </c>
      <c r="J55" s="1395" t="s">
        <v>114</v>
      </c>
      <c r="K55" s="1394">
        <v>1778</v>
      </c>
      <c r="L55" s="1395" t="s">
        <v>1624</v>
      </c>
      <c r="M55" s="1395" t="s">
        <v>1546</v>
      </c>
    </row>
    <row r="56" spans="4:13" ht="30" hidden="1">
      <c r="D56" s="1394">
        <v>382</v>
      </c>
      <c r="E56" s="1395" t="s">
        <v>1625</v>
      </c>
      <c r="F56" s="1395" t="s">
        <v>134</v>
      </c>
      <c r="G56" s="1396">
        <v>40983</v>
      </c>
      <c r="H56" s="1397">
        <v>41220</v>
      </c>
      <c r="I56" s="1395" t="s">
        <v>961</v>
      </c>
      <c r="J56" s="1395" t="s">
        <v>114</v>
      </c>
      <c r="K56" s="1394">
        <v>1779</v>
      </c>
      <c r="L56" s="1395" t="s">
        <v>1626</v>
      </c>
      <c r="M56" s="1395" t="s">
        <v>1546</v>
      </c>
    </row>
    <row r="57" spans="4:13" ht="30" hidden="1">
      <c r="D57" s="1394">
        <v>383</v>
      </c>
      <c r="E57" s="1395" t="s">
        <v>1627</v>
      </c>
      <c r="F57" s="1395" t="s">
        <v>429</v>
      </c>
      <c r="G57" s="1396">
        <v>40983</v>
      </c>
      <c r="H57" s="470"/>
      <c r="I57" s="1395" t="s">
        <v>961</v>
      </c>
      <c r="J57" s="1395" t="s">
        <v>114</v>
      </c>
      <c r="K57" s="1394">
        <v>1780</v>
      </c>
      <c r="L57" s="1395" t="s">
        <v>1628</v>
      </c>
      <c r="M57" s="1395" t="s">
        <v>1546</v>
      </c>
    </row>
    <row r="58" spans="4:13" ht="30" hidden="1">
      <c r="D58" s="1394">
        <v>385</v>
      </c>
      <c r="E58" s="1395" t="s">
        <v>1629</v>
      </c>
      <c r="F58" s="1395" t="s">
        <v>136</v>
      </c>
      <c r="G58" s="1396">
        <v>41148</v>
      </c>
      <c r="H58" s="470"/>
      <c r="I58" s="1395" t="s">
        <v>961</v>
      </c>
      <c r="J58" s="1395" t="s">
        <v>114</v>
      </c>
      <c r="K58" s="1394">
        <v>1782</v>
      </c>
      <c r="L58" s="1395" t="s">
        <v>1630</v>
      </c>
      <c r="M58" s="1395" t="s">
        <v>1546</v>
      </c>
    </row>
    <row r="59" spans="4:13" ht="30" hidden="1">
      <c r="D59" s="1394">
        <v>386</v>
      </c>
      <c r="E59" s="1395" t="s">
        <v>1631</v>
      </c>
      <c r="F59" s="1395" t="s">
        <v>1632</v>
      </c>
      <c r="G59" s="1396">
        <v>41039</v>
      </c>
      <c r="H59" s="470"/>
      <c r="I59" s="1395" t="s">
        <v>961</v>
      </c>
      <c r="J59" s="1395" t="s">
        <v>114</v>
      </c>
      <c r="K59" s="1394">
        <v>1783</v>
      </c>
      <c r="L59" s="1395" t="s">
        <v>1633</v>
      </c>
      <c r="M59" s="1395" t="s">
        <v>1546</v>
      </c>
    </row>
    <row r="60" spans="4:13" ht="45" hidden="1">
      <c r="D60" s="1394">
        <v>390</v>
      </c>
      <c r="E60" s="1395" t="s">
        <v>1634</v>
      </c>
      <c r="F60" s="1395" t="s">
        <v>250</v>
      </c>
      <c r="G60" s="1396">
        <v>41094</v>
      </c>
      <c r="H60" s="470"/>
      <c r="I60" s="1395" t="s">
        <v>961</v>
      </c>
      <c r="J60" s="1395" t="s">
        <v>114</v>
      </c>
      <c r="K60" s="1394">
        <v>1787</v>
      </c>
      <c r="L60" s="1395" t="s">
        <v>1635</v>
      </c>
      <c r="M60" s="1395" t="s">
        <v>1546</v>
      </c>
    </row>
    <row r="61" spans="4:13" ht="30" hidden="1">
      <c r="D61" s="1394">
        <v>391</v>
      </c>
      <c r="E61" s="1395" t="s">
        <v>1636</v>
      </c>
      <c r="F61" s="1395" t="s">
        <v>228</v>
      </c>
      <c r="G61" s="1396">
        <v>41205</v>
      </c>
      <c r="H61" s="470"/>
      <c r="I61" s="1395" t="s">
        <v>961</v>
      </c>
      <c r="J61" s="1395" t="s">
        <v>114</v>
      </c>
      <c r="K61" s="1394">
        <v>1788</v>
      </c>
      <c r="L61" s="1395" t="s">
        <v>1637</v>
      </c>
      <c r="M61" s="1395" t="s">
        <v>1546</v>
      </c>
    </row>
    <row r="62" spans="4:13" ht="30" hidden="1">
      <c r="D62" s="1394">
        <v>396</v>
      </c>
      <c r="E62" s="1395" t="s">
        <v>1638</v>
      </c>
      <c r="F62" s="1395" t="s">
        <v>1639</v>
      </c>
      <c r="G62" s="1396">
        <v>41018</v>
      </c>
      <c r="H62" s="470"/>
      <c r="I62" s="1395" t="s">
        <v>961</v>
      </c>
      <c r="J62" s="1395" t="s">
        <v>114</v>
      </c>
      <c r="K62" s="1394">
        <v>1792</v>
      </c>
      <c r="L62" s="1395" t="s">
        <v>1640</v>
      </c>
      <c r="M62" s="1395" t="s">
        <v>1546</v>
      </c>
    </row>
    <row r="63" spans="4:13" ht="15" hidden="1">
      <c r="D63" s="1394">
        <v>397</v>
      </c>
      <c r="E63" s="1395" t="s">
        <v>1641</v>
      </c>
      <c r="F63" s="1395" t="s">
        <v>167</v>
      </c>
      <c r="G63" s="1396">
        <v>41079</v>
      </c>
      <c r="H63" s="1397">
        <v>39922</v>
      </c>
      <c r="I63" s="1395" t="s">
        <v>961</v>
      </c>
      <c r="J63" s="1395" t="s">
        <v>114</v>
      </c>
      <c r="K63" s="1394">
        <v>1793</v>
      </c>
      <c r="L63" s="1395" t="s">
        <v>1642</v>
      </c>
      <c r="M63" s="1395" t="s">
        <v>1546</v>
      </c>
    </row>
    <row r="64" spans="4:13" ht="30" hidden="1">
      <c r="D64" s="1394">
        <v>398</v>
      </c>
      <c r="E64" s="1395" t="s">
        <v>1643</v>
      </c>
      <c r="F64" s="1395" t="s">
        <v>137</v>
      </c>
      <c r="G64" s="1396">
        <v>41112</v>
      </c>
      <c r="H64" s="1397">
        <v>41089</v>
      </c>
      <c r="I64" s="1395" t="s">
        <v>961</v>
      </c>
      <c r="J64" s="1395" t="s">
        <v>1566</v>
      </c>
      <c r="K64" s="1394">
        <v>1794</v>
      </c>
      <c r="L64" s="1395" t="s">
        <v>1644</v>
      </c>
      <c r="M64" s="1395" t="s">
        <v>1546</v>
      </c>
    </row>
    <row r="65" spans="4:13" ht="30" hidden="1">
      <c r="D65" s="1394">
        <v>399</v>
      </c>
      <c r="E65" s="1395" t="s">
        <v>1645</v>
      </c>
      <c r="F65" s="1395" t="s">
        <v>138</v>
      </c>
      <c r="G65" s="1396">
        <v>41112</v>
      </c>
      <c r="H65" s="1397">
        <v>41089</v>
      </c>
      <c r="I65" s="1395" t="s">
        <v>961</v>
      </c>
      <c r="J65" s="1395" t="s">
        <v>1566</v>
      </c>
      <c r="K65" s="1394">
        <v>1795</v>
      </c>
      <c r="L65" s="1395" t="s">
        <v>1646</v>
      </c>
      <c r="M65" s="1395" t="s">
        <v>1546</v>
      </c>
    </row>
    <row r="66" spans="4:13" ht="30" hidden="1">
      <c r="D66" s="1394">
        <v>400</v>
      </c>
      <c r="E66" s="1395" t="s">
        <v>1647</v>
      </c>
      <c r="F66" s="1395" t="s">
        <v>139</v>
      </c>
      <c r="G66" s="1396">
        <v>41051</v>
      </c>
      <c r="H66" s="1397">
        <v>41018</v>
      </c>
      <c r="I66" s="1395" t="s">
        <v>961</v>
      </c>
      <c r="J66" s="1395" t="s">
        <v>1566</v>
      </c>
      <c r="K66" s="1394">
        <v>1796</v>
      </c>
      <c r="L66" s="1395" t="s">
        <v>1648</v>
      </c>
      <c r="M66" s="1395" t="s">
        <v>1546</v>
      </c>
    </row>
    <row r="67" spans="4:13" ht="30" hidden="1">
      <c r="D67" s="1394">
        <v>401</v>
      </c>
      <c r="E67" s="1395" t="s">
        <v>1649</v>
      </c>
      <c r="F67" s="1395" t="s">
        <v>140</v>
      </c>
      <c r="G67" s="1396">
        <v>41112</v>
      </c>
      <c r="H67" s="1397">
        <v>41089</v>
      </c>
      <c r="I67" s="1395" t="s">
        <v>961</v>
      </c>
      <c r="J67" s="1395" t="s">
        <v>1566</v>
      </c>
      <c r="K67" s="1394">
        <v>1797</v>
      </c>
      <c r="L67" s="1395" t="s">
        <v>1650</v>
      </c>
      <c r="M67" s="1395" t="s">
        <v>1546</v>
      </c>
    </row>
    <row r="68" spans="4:13" ht="30" hidden="1">
      <c r="D68" s="1394">
        <v>404</v>
      </c>
      <c r="E68" s="1395" t="s">
        <v>1651</v>
      </c>
      <c r="F68" s="1395" t="s">
        <v>141</v>
      </c>
      <c r="G68" s="1396">
        <v>41007</v>
      </c>
      <c r="H68" s="470"/>
      <c r="I68" s="1395" t="s">
        <v>961</v>
      </c>
      <c r="J68" s="1395" t="s">
        <v>114</v>
      </c>
      <c r="K68" s="1394">
        <v>1800</v>
      </c>
      <c r="L68" s="1395" t="s">
        <v>1652</v>
      </c>
      <c r="M68" s="1395" t="s">
        <v>1546</v>
      </c>
    </row>
    <row r="69" spans="4:13" ht="30" hidden="1">
      <c r="D69" s="1394">
        <v>405</v>
      </c>
      <c r="E69" s="1395" t="s">
        <v>1653</v>
      </c>
      <c r="F69" s="1395" t="s">
        <v>142</v>
      </c>
      <c r="G69" s="1396">
        <v>41007</v>
      </c>
      <c r="H69" s="470"/>
      <c r="I69" s="1395" t="s">
        <v>961</v>
      </c>
      <c r="J69" s="1395" t="s">
        <v>114</v>
      </c>
      <c r="K69" s="1394">
        <v>1802</v>
      </c>
      <c r="L69" s="1395" t="s">
        <v>1654</v>
      </c>
      <c r="M69" s="1395" t="s">
        <v>1546</v>
      </c>
    </row>
    <row r="70" spans="4:13" ht="30">
      <c r="D70" s="1394">
        <v>598</v>
      </c>
      <c r="E70" s="1395" t="s">
        <v>1655</v>
      </c>
      <c r="F70" s="1395" t="s">
        <v>1656</v>
      </c>
      <c r="G70" s="1396">
        <v>41485</v>
      </c>
      <c r="H70" s="470"/>
      <c r="I70" s="1395" t="s">
        <v>961</v>
      </c>
      <c r="J70" s="1395" t="s">
        <v>1566</v>
      </c>
      <c r="K70" s="1394">
        <v>1855</v>
      </c>
      <c r="L70" s="1395" t="s">
        <v>1657</v>
      </c>
      <c r="M70" s="1395" t="s">
        <v>1172</v>
      </c>
    </row>
    <row r="71" spans="4:13" ht="30">
      <c r="D71" s="1394">
        <v>2351</v>
      </c>
      <c r="E71" s="1395" t="s">
        <v>1658</v>
      </c>
      <c r="F71" s="1395" t="s">
        <v>403</v>
      </c>
      <c r="G71" s="1396">
        <v>41485</v>
      </c>
      <c r="H71" s="470"/>
      <c r="I71" s="1395" t="s">
        <v>961</v>
      </c>
      <c r="J71" s="1395" t="s">
        <v>1566</v>
      </c>
      <c r="K71" s="1394">
        <v>2062</v>
      </c>
      <c r="L71" s="1395" t="s">
        <v>1659</v>
      </c>
      <c r="M71" s="1395" t="s">
        <v>1172</v>
      </c>
    </row>
    <row r="72" spans="4:13" ht="45">
      <c r="D72" s="1394">
        <v>2381</v>
      </c>
      <c r="E72" s="1395" t="s">
        <v>1660</v>
      </c>
      <c r="F72" s="1395" t="s">
        <v>375</v>
      </c>
      <c r="G72" s="1396">
        <v>41485</v>
      </c>
      <c r="H72" s="470"/>
      <c r="I72" s="1395" t="s">
        <v>961</v>
      </c>
      <c r="J72" s="1395" t="s">
        <v>1566</v>
      </c>
      <c r="K72" s="1394">
        <v>2066</v>
      </c>
      <c r="L72" s="1395" t="s">
        <v>1661</v>
      </c>
      <c r="M72" s="1395" t="s">
        <v>1172</v>
      </c>
    </row>
    <row r="73" spans="4:13" ht="30" hidden="1">
      <c r="D73" s="1394">
        <v>2513</v>
      </c>
      <c r="E73" s="1395" t="s">
        <v>1662</v>
      </c>
      <c r="F73" s="1395" t="s">
        <v>1663</v>
      </c>
      <c r="G73" s="1396">
        <v>40909</v>
      </c>
      <c r="H73" s="470"/>
      <c r="I73" s="1395" t="s">
        <v>961</v>
      </c>
      <c r="J73" s="1395" t="s">
        <v>114</v>
      </c>
      <c r="K73" s="1394">
        <v>2076</v>
      </c>
      <c r="L73" s="1395" t="s">
        <v>114</v>
      </c>
      <c r="M73" s="1395" t="s">
        <v>114</v>
      </c>
    </row>
    <row r="74" spans="4:13" ht="45">
      <c r="D74" s="1394">
        <v>2763</v>
      </c>
      <c r="E74" s="1395" t="s">
        <v>1664</v>
      </c>
      <c r="F74" s="1395" t="s">
        <v>144</v>
      </c>
      <c r="G74" s="1396">
        <v>41485</v>
      </c>
      <c r="H74" s="470"/>
      <c r="I74" s="1395" t="s">
        <v>961</v>
      </c>
      <c r="J74" s="1395" t="s">
        <v>1566</v>
      </c>
      <c r="K74" s="1394">
        <v>2111</v>
      </c>
      <c r="L74" s="1395" t="s">
        <v>1665</v>
      </c>
      <c r="M74" s="1395" t="s">
        <v>1172</v>
      </c>
    </row>
    <row r="75" spans="4:13" ht="45">
      <c r="D75" s="1394">
        <v>2783</v>
      </c>
      <c r="E75" s="1395" t="s">
        <v>1666</v>
      </c>
      <c r="F75" s="1395" t="s">
        <v>414</v>
      </c>
      <c r="G75" s="1396">
        <v>41485</v>
      </c>
      <c r="H75" s="470"/>
      <c r="I75" s="1395" t="s">
        <v>961</v>
      </c>
      <c r="J75" s="1395" t="s">
        <v>1566</v>
      </c>
      <c r="K75" s="1394">
        <v>2114</v>
      </c>
      <c r="L75" s="1395" t="s">
        <v>1667</v>
      </c>
      <c r="M75" s="1395" t="s">
        <v>1172</v>
      </c>
    </row>
    <row r="76" spans="4:13" ht="15" hidden="1">
      <c r="D76" s="1394">
        <v>2866</v>
      </c>
      <c r="E76" s="1395" t="s">
        <v>1668</v>
      </c>
      <c r="F76" s="1395" t="s">
        <v>145</v>
      </c>
      <c r="G76" s="1396">
        <v>41084</v>
      </c>
      <c r="H76" s="470"/>
      <c r="I76" s="1395" t="s">
        <v>961</v>
      </c>
      <c r="J76" s="1395" t="s">
        <v>114</v>
      </c>
      <c r="K76" s="1394">
        <v>2126</v>
      </c>
      <c r="L76" s="1395" t="s">
        <v>1669</v>
      </c>
      <c r="M76" s="1395" t="s">
        <v>1546</v>
      </c>
    </row>
    <row r="77" spans="4:13" ht="30" hidden="1">
      <c r="D77" s="1394">
        <v>2904</v>
      </c>
      <c r="E77" s="1395" t="s">
        <v>1670</v>
      </c>
      <c r="F77" s="1395" t="s">
        <v>1671</v>
      </c>
      <c r="G77" s="1396">
        <v>41150</v>
      </c>
      <c r="H77" s="1397">
        <v>41135</v>
      </c>
      <c r="I77" s="1395" t="s">
        <v>961</v>
      </c>
      <c r="J77" s="1395" t="s">
        <v>1566</v>
      </c>
      <c r="K77" s="1394">
        <v>2134</v>
      </c>
      <c r="L77" s="1395" t="s">
        <v>1672</v>
      </c>
      <c r="M77" s="1395" t="s">
        <v>1546</v>
      </c>
    </row>
    <row r="78" spans="4:13" ht="30" hidden="1">
      <c r="D78" s="1394">
        <v>2937</v>
      </c>
      <c r="E78" s="1395" t="s">
        <v>1673</v>
      </c>
      <c r="F78" s="1395" t="s">
        <v>146</v>
      </c>
      <c r="G78" s="1396">
        <v>41205</v>
      </c>
      <c r="H78" s="470"/>
      <c r="I78" s="1395" t="s">
        <v>961</v>
      </c>
      <c r="J78" s="1395" t="s">
        <v>114</v>
      </c>
      <c r="K78" s="1394">
        <v>2141</v>
      </c>
      <c r="L78" s="1395" t="s">
        <v>1674</v>
      </c>
      <c r="M78" s="1395" t="s">
        <v>1546</v>
      </c>
    </row>
    <row r="79" spans="4:13" ht="30">
      <c r="D79" s="1394">
        <v>3223</v>
      </c>
      <c r="E79" s="1395" t="s">
        <v>1675</v>
      </c>
      <c r="F79" s="1395" t="s">
        <v>387</v>
      </c>
      <c r="G79" s="1396">
        <v>41423</v>
      </c>
      <c r="H79" s="470"/>
      <c r="I79" s="1395" t="s">
        <v>961</v>
      </c>
      <c r="J79" s="1395" t="s">
        <v>1566</v>
      </c>
      <c r="K79" s="1394">
        <v>2193</v>
      </c>
      <c r="L79" s="1395" t="s">
        <v>1676</v>
      </c>
      <c r="M79" s="1395" t="s">
        <v>1172</v>
      </c>
    </row>
    <row r="80" spans="4:13" ht="45">
      <c r="D80" s="1394">
        <v>3627</v>
      </c>
      <c r="E80" s="1395" t="s">
        <v>1677</v>
      </c>
      <c r="F80" s="1395" t="s">
        <v>398</v>
      </c>
      <c r="G80" s="1396">
        <v>41485</v>
      </c>
      <c r="H80" s="470"/>
      <c r="I80" s="1395" t="s">
        <v>961</v>
      </c>
      <c r="J80" s="1395" t="s">
        <v>1566</v>
      </c>
      <c r="K80" s="1394">
        <v>2215</v>
      </c>
      <c r="L80" s="1395" t="s">
        <v>1678</v>
      </c>
      <c r="M80" s="1395" t="s">
        <v>1172</v>
      </c>
    </row>
    <row r="81" spans="4:13" ht="45">
      <c r="D81" s="1394">
        <v>4248</v>
      </c>
      <c r="E81" s="1395" t="s">
        <v>1679</v>
      </c>
      <c r="F81" s="1395" t="s">
        <v>1680</v>
      </c>
      <c r="G81" s="1396">
        <v>41485</v>
      </c>
      <c r="H81" s="470"/>
      <c r="I81" s="1395" t="s">
        <v>961</v>
      </c>
      <c r="J81" s="1395" t="s">
        <v>1566</v>
      </c>
      <c r="K81" s="1394">
        <v>2245</v>
      </c>
      <c r="L81" s="1395" t="s">
        <v>1681</v>
      </c>
      <c r="M81" s="1395" t="s">
        <v>1172</v>
      </c>
    </row>
    <row r="82" spans="4:13" ht="105" hidden="1">
      <c r="D82" s="1394">
        <v>4950</v>
      </c>
      <c r="E82" s="1395" t="s">
        <v>1682</v>
      </c>
      <c r="F82" s="1395" t="s">
        <v>147</v>
      </c>
      <c r="G82" s="1396">
        <v>41057</v>
      </c>
      <c r="H82" s="1397">
        <v>41007</v>
      </c>
      <c r="I82" s="1395" t="s">
        <v>961</v>
      </c>
      <c r="J82" s="1395" t="s">
        <v>114</v>
      </c>
      <c r="K82" s="1394">
        <v>2285</v>
      </c>
      <c r="L82" s="1395" t="s">
        <v>1683</v>
      </c>
      <c r="M82" s="1395" t="s">
        <v>1546</v>
      </c>
    </row>
    <row r="83" spans="4:13" ht="15" hidden="1">
      <c r="D83" s="1394">
        <v>5160</v>
      </c>
      <c r="E83" s="1395" t="s">
        <v>1684</v>
      </c>
      <c r="F83" s="1395" t="s">
        <v>148</v>
      </c>
      <c r="G83" s="1396">
        <v>41204</v>
      </c>
      <c r="H83" s="1397">
        <v>41147</v>
      </c>
      <c r="I83" s="1395" t="s">
        <v>961</v>
      </c>
      <c r="J83" s="1395" t="s">
        <v>114</v>
      </c>
      <c r="K83" s="1394">
        <v>2313</v>
      </c>
      <c r="L83" s="1395" t="s">
        <v>1685</v>
      </c>
      <c r="M83" s="1395" t="s">
        <v>1546</v>
      </c>
    </row>
    <row r="84" spans="4:13" ht="30" hidden="1">
      <c r="D84" s="1394">
        <v>5216</v>
      </c>
      <c r="E84" s="1395" t="s">
        <v>1686</v>
      </c>
      <c r="F84" s="1395" t="s">
        <v>1687</v>
      </c>
      <c r="G84" s="1396">
        <v>41039</v>
      </c>
      <c r="H84" s="470"/>
      <c r="I84" s="1395" t="s">
        <v>961</v>
      </c>
      <c r="J84" s="1395" t="s">
        <v>114</v>
      </c>
      <c r="K84" s="1394">
        <v>2330</v>
      </c>
      <c r="L84" s="1395" t="s">
        <v>1688</v>
      </c>
      <c r="M84" s="1395" t="s">
        <v>1546</v>
      </c>
    </row>
    <row r="85" spans="4:13" ht="30" hidden="1">
      <c r="D85" s="1394">
        <v>5217</v>
      </c>
      <c r="E85" s="1395" t="s">
        <v>1689</v>
      </c>
      <c r="F85" s="1395" t="s">
        <v>1690</v>
      </c>
      <c r="G85" s="1396">
        <v>41039</v>
      </c>
      <c r="H85" s="470"/>
      <c r="I85" s="1395" t="s">
        <v>961</v>
      </c>
      <c r="J85" s="1395" t="s">
        <v>114</v>
      </c>
      <c r="K85" s="1394">
        <v>2331</v>
      </c>
      <c r="L85" s="1395" t="s">
        <v>1691</v>
      </c>
      <c r="M85" s="1395" t="s">
        <v>1546</v>
      </c>
    </row>
    <row r="86" spans="4:13" ht="45">
      <c r="D86" s="1394">
        <v>5274</v>
      </c>
      <c r="E86" s="1395" t="s">
        <v>1692</v>
      </c>
      <c r="F86" s="1395" t="s">
        <v>149</v>
      </c>
      <c r="G86" s="1396">
        <v>41393</v>
      </c>
      <c r="H86" s="470"/>
      <c r="I86" s="1395" t="s">
        <v>961</v>
      </c>
      <c r="J86" s="1395" t="s">
        <v>1566</v>
      </c>
      <c r="K86" s="1394">
        <v>2339</v>
      </c>
      <c r="L86" s="1395" t="s">
        <v>1693</v>
      </c>
      <c r="M86" s="1395" t="s">
        <v>1172</v>
      </c>
    </row>
    <row r="87" spans="4:13" ht="45">
      <c r="D87" s="1394">
        <v>5351</v>
      </c>
      <c r="E87" s="1395" t="s">
        <v>1694</v>
      </c>
      <c r="F87" s="1395" t="s">
        <v>150</v>
      </c>
      <c r="G87" s="1396">
        <v>41212</v>
      </c>
      <c r="H87" s="470"/>
      <c r="I87" s="1395" t="s">
        <v>961</v>
      </c>
      <c r="J87" s="1395" t="s">
        <v>1566</v>
      </c>
      <c r="K87" s="1394">
        <v>2340</v>
      </c>
      <c r="L87" s="1395" t="s">
        <v>1695</v>
      </c>
      <c r="M87" s="1395" t="s">
        <v>1172</v>
      </c>
    </row>
    <row r="88" spans="4:13" ht="60">
      <c r="D88" s="1394">
        <v>5352</v>
      </c>
      <c r="E88" s="1395" t="s">
        <v>1696</v>
      </c>
      <c r="F88" s="1395" t="s">
        <v>310</v>
      </c>
      <c r="G88" s="1396">
        <v>41182</v>
      </c>
      <c r="H88" s="470"/>
      <c r="I88" s="1395" t="s">
        <v>961</v>
      </c>
      <c r="J88" s="1395" t="s">
        <v>1566</v>
      </c>
      <c r="K88" s="1394">
        <v>2341</v>
      </c>
      <c r="L88" s="1395" t="s">
        <v>1697</v>
      </c>
      <c r="M88" s="1395" t="s">
        <v>1172</v>
      </c>
    </row>
    <row r="89" spans="4:13" ht="45">
      <c r="D89" s="1394">
        <v>5353</v>
      </c>
      <c r="E89" s="1395" t="s">
        <v>1698</v>
      </c>
      <c r="F89" s="1395" t="s">
        <v>151</v>
      </c>
      <c r="G89" s="1396">
        <v>41182</v>
      </c>
      <c r="H89" s="470"/>
      <c r="I89" s="1395" t="s">
        <v>961</v>
      </c>
      <c r="J89" s="1395" t="s">
        <v>1566</v>
      </c>
      <c r="K89" s="1394">
        <v>2342</v>
      </c>
      <c r="L89" s="1395" t="s">
        <v>1699</v>
      </c>
      <c r="M89" s="1395" t="s">
        <v>1172</v>
      </c>
    </row>
    <row r="90" spans="4:13" ht="30">
      <c r="D90" s="1394">
        <v>5355</v>
      </c>
      <c r="E90" s="1395" t="s">
        <v>1700</v>
      </c>
      <c r="F90" s="1395" t="s">
        <v>321</v>
      </c>
      <c r="G90" s="1396">
        <v>41182</v>
      </c>
      <c r="H90" s="470"/>
      <c r="I90" s="1395" t="s">
        <v>961</v>
      </c>
      <c r="J90" s="1395" t="s">
        <v>1566</v>
      </c>
      <c r="K90" s="1394">
        <v>2343</v>
      </c>
      <c r="L90" s="1395" t="s">
        <v>1701</v>
      </c>
      <c r="M90" s="1395" t="s">
        <v>1172</v>
      </c>
    </row>
    <row r="91" spans="4:13" ht="30">
      <c r="D91" s="1394">
        <v>5363</v>
      </c>
      <c r="E91" s="1395" t="s">
        <v>1702</v>
      </c>
      <c r="F91" s="1395" t="s">
        <v>328</v>
      </c>
      <c r="G91" s="1396">
        <v>41182</v>
      </c>
      <c r="H91" s="470"/>
      <c r="I91" s="1395" t="s">
        <v>961</v>
      </c>
      <c r="J91" s="1395" t="s">
        <v>1566</v>
      </c>
      <c r="K91" s="1394">
        <v>2344</v>
      </c>
      <c r="L91" s="1395" t="s">
        <v>1703</v>
      </c>
      <c r="M91" s="1395" t="s">
        <v>1172</v>
      </c>
    </row>
    <row r="92" spans="4:13" ht="30">
      <c r="D92" s="1394">
        <v>5364</v>
      </c>
      <c r="E92" s="1395" t="s">
        <v>1704</v>
      </c>
      <c r="F92" s="1395" t="s">
        <v>333</v>
      </c>
      <c r="G92" s="1396">
        <v>41182</v>
      </c>
      <c r="H92" s="470"/>
      <c r="I92" s="1395" t="s">
        <v>961</v>
      </c>
      <c r="J92" s="1395" t="s">
        <v>1566</v>
      </c>
      <c r="K92" s="1394">
        <v>2345</v>
      </c>
      <c r="L92" s="1395" t="s">
        <v>1705</v>
      </c>
      <c r="M92" s="1395" t="s">
        <v>1172</v>
      </c>
    </row>
    <row r="93" spans="4:13" ht="30">
      <c r="D93" s="1394">
        <v>5365</v>
      </c>
      <c r="E93" s="1395" t="s">
        <v>1706</v>
      </c>
      <c r="F93" s="1395" t="s">
        <v>339</v>
      </c>
      <c r="G93" s="1396">
        <v>41182</v>
      </c>
      <c r="H93" s="470"/>
      <c r="I93" s="1395" t="s">
        <v>961</v>
      </c>
      <c r="J93" s="1395" t="s">
        <v>1566</v>
      </c>
      <c r="K93" s="1394">
        <v>2346</v>
      </c>
      <c r="L93" s="1395" t="s">
        <v>1707</v>
      </c>
      <c r="M93" s="1395" t="s">
        <v>1172</v>
      </c>
    </row>
    <row r="94" spans="4:13" ht="45">
      <c r="D94" s="1394">
        <v>5366</v>
      </c>
      <c r="E94" s="1395" t="s">
        <v>1708</v>
      </c>
      <c r="F94" s="1395" t="s">
        <v>153</v>
      </c>
      <c r="G94" s="1396">
        <v>41182</v>
      </c>
      <c r="H94" s="470"/>
      <c r="I94" s="1395" t="s">
        <v>961</v>
      </c>
      <c r="J94" s="1395" t="s">
        <v>1566</v>
      </c>
      <c r="K94" s="1394">
        <v>2347</v>
      </c>
      <c r="L94" s="1395" t="s">
        <v>1709</v>
      </c>
      <c r="M94" s="1395" t="s">
        <v>1172</v>
      </c>
    </row>
    <row r="95" spans="4:13" ht="30">
      <c r="D95" s="1394">
        <v>5367</v>
      </c>
      <c r="E95" s="1395" t="s">
        <v>1710</v>
      </c>
      <c r="F95" s="1395" t="s">
        <v>9</v>
      </c>
      <c r="G95" s="1396">
        <v>40899</v>
      </c>
      <c r="H95" s="470"/>
      <c r="I95" s="1395" t="s">
        <v>961</v>
      </c>
      <c r="J95" s="1395" t="s">
        <v>1566</v>
      </c>
      <c r="K95" s="1394">
        <v>2348</v>
      </c>
      <c r="L95" s="1395" t="s">
        <v>1711</v>
      </c>
      <c r="M95" s="1395" t="s">
        <v>1172</v>
      </c>
    </row>
    <row r="96" spans="4:13" ht="30">
      <c r="D96" s="1394">
        <v>5368</v>
      </c>
      <c r="E96" s="1395" t="s">
        <v>1712</v>
      </c>
      <c r="F96" s="1395" t="s">
        <v>344</v>
      </c>
      <c r="G96" s="1396">
        <v>41182</v>
      </c>
      <c r="H96" s="470"/>
      <c r="I96" s="1395" t="s">
        <v>961</v>
      </c>
      <c r="J96" s="1395" t="s">
        <v>1566</v>
      </c>
      <c r="K96" s="1394">
        <v>2349</v>
      </c>
      <c r="L96" s="1395" t="s">
        <v>1713</v>
      </c>
      <c r="M96" s="1395" t="s">
        <v>1172</v>
      </c>
    </row>
    <row r="97" spans="4:13" ht="30">
      <c r="D97" s="1394">
        <v>5369</v>
      </c>
      <c r="E97" s="1395" t="s">
        <v>1714</v>
      </c>
      <c r="F97" s="1395" t="s">
        <v>349</v>
      </c>
      <c r="G97" s="1396">
        <v>41182</v>
      </c>
      <c r="H97" s="470"/>
      <c r="I97" s="1395" t="s">
        <v>961</v>
      </c>
      <c r="J97" s="1395" t="s">
        <v>1566</v>
      </c>
      <c r="K97" s="1394">
        <v>2350</v>
      </c>
      <c r="L97" s="1395" t="s">
        <v>1715</v>
      </c>
      <c r="M97" s="1395" t="s">
        <v>1172</v>
      </c>
    </row>
    <row r="98" spans="4:13" ht="30">
      <c r="D98" s="1394">
        <v>5370</v>
      </c>
      <c r="E98" s="1395" t="s">
        <v>1716</v>
      </c>
      <c r="F98" s="1395" t="s">
        <v>154</v>
      </c>
      <c r="G98" s="1396">
        <v>41182</v>
      </c>
      <c r="H98" s="470"/>
      <c r="I98" s="1395" t="s">
        <v>961</v>
      </c>
      <c r="J98" s="1395" t="s">
        <v>1566</v>
      </c>
      <c r="K98" s="1394">
        <v>2351</v>
      </c>
      <c r="L98" s="1395" t="s">
        <v>1717</v>
      </c>
      <c r="M98" s="1395" t="s">
        <v>1172</v>
      </c>
    </row>
    <row r="99" spans="4:13" ht="30">
      <c r="D99" s="1394">
        <v>5371</v>
      </c>
      <c r="E99" s="1395" t="s">
        <v>1718</v>
      </c>
      <c r="F99" s="1395" t="s">
        <v>358</v>
      </c>
      <c r="G99" s="1396">
        <v>41182</v>
      </c>
      <c r="H99" s="470"/>
      <c r="I99" s="1395" t="s">
        <v>961</v>
      </c>
      <c r="J99" s="1395" t="s">
        <v>1566</v>
      </c>
      <c r="K99" s="1394">
        <v>2352</v>
      </c>
      <c r="L99" s="1395" t="s">
        <v>1719</v>
      </c>
      <c r="M99" s="1395" t="s">
        <v>1172</v>
      </c>
    </row>
    <row r="100" spans="4:13" ht="30">
      <c r="D100" s="1394">
        <v>5373</v>
      </c>
      <c r="E100" s="1395" t="s">
        <v>1720</v>
      </c>
      <c r="F100" s="1395" t="s">
        <v>365</v>
      </c>
      <c r="G100" s="1396">
        <v>41182</v>
      </c>
      <c r="H100" s="470"/>
      <c r="I100" s="1395" t="s">
        <v>961</v>
      </c>
      <c r="J100" s="1395" t="s">
        <v>1566</v>
      </c>
      <c r="K100" s="1394">
        <v>2353</v>
      </c>
      <c r="L100" s="1395" t="s">
        <v>1721</v>
      </c>
      <c r="M100" s="1395" t="s">
        <v>1172</v>
      </c>
    </row>
    <row r="101" spans="4:13" ht="45">
      <c r="D101" s="1394">
        <v>5377</v>
      </c>
      <c r="E101" s="1395" t="s">
        <v>1722</v>
      </c>
      <c r="F101" s="1395" t="s">
        <v>309</v>
      </c>
      <c r="G101" s="1396">
        <v>41393</v>
      </c>
      <c r="H101" s="470"/>
      <c r="I101" s="1395" t="s">
        <v>961</v>
      </c>
      <c r="J101" s="1395" t="s">
        <v>1566</v>
      </c>
      <c r="K101" s="1394">
        <v>2355</v>
      </c>
      <c r="L101" s="1395" t="s">
        <v>1723</v>
      </c>
      <c r="M101" s="1395" t="s">
        <v>1172</v>
      </c>
    </row>
    <row r="102" spans="4:13" ht="45">
      <c r="D102" s="1394">
        <v>5378</v>
      </c>
      <c r="E102" s="1395" t="s">
        <v>1724</v>
      </c>
      <c r="F102" s="1395" t="s">
        <v>241</v>
      </c>
      <c r="G102" s="1396">
        <v>41393</v>
      </c>
      <c r="H102" s="470"/>
      <c r="I102" s="1395" t="s">
        <v>961</v>
      </c>
      <c r="J102" s="1395" t="s">
        <v>1566</v>
      </c>
      <c r="K102" s="1394">
        <v>2356</v>
      </c>
      <c r="L102" s="1395" t="s">
        <v>1725</v>
      </c>
      <c r="M102" s="1395" t="s">
        <v>1172</v>
      </c>
    </row>
    <row r="103" spans="4:13" ht="45">
      <c r="D103" s="1394">
        <v>5379</v>
      </c>
      <c r="E103" s="1395" t="s">
        <v>1726</v>
      </c>
      <c r="F103" s="1395" t="s">
        <v>277</v>
      </c>
      <c r="G103" s="1396">
        <v>41212</v>
      </c>
      <c r="H103" s="470"/>
      <c r="I103" s="1395" t="s">
        <v>961</v>
      </c>
      <c r="J103" s="1395" t="s">
        <v>1566</v>
      </c>
      <c r="K103" s="1394">
        <v>2357</v>
      </c>
      <c r="L103" s="1395" t="s">
        <v>1727</v>
      </c>
      <c r="M103" s="1395" t="s">
        <v>1172</v>
      </c>
    </row>
    <row r="104" spans="4:13" ht="45">
      <c r="D104" s="1394">
        <v>5381</v>
      </c>
      <c r="E104" s="1395" t="s">
        <v>1728</v>
      </c>
      <c r="F104" s="1395" t="s">
        <v>220</v>
      </c>
      <c r="G104" s="1396">
        <v>41152</v>
      </c>
      <c r="H104" s="470"/>
      <c r="I104" s="1395" t="s">
        <v>961</v>
      </c>
      <c r="J104" s="1395" t="s">
        <v>1566</v>
      </c>
      <c r="K104" s="1394">
        <v>2358</v>
      </c>
      <c r="L104" s="1395" t="s">
        <v>1729</v>
      </c>
      <c r="M104" s="1395" t="s">
        <v>1172</v>
      </c>
    </row>
    <row r="105" spans="4:13" ht="45">
      <c r="D105" s="1394">
        <v>5382</v>
      </c>
      <c r="E105" s="1395" t="s">
        <v>1730</v>
      </c>
      <c r="F105" s="1395" t="s">
        <v>246</v>
      </c>
      <c r="G105" s="1396">
        <v>41101</v>
      </c>
      <c r="H105" s="470"/>
      <c r="I105" s="1395" t="s">
        <v>961</v>
      </c>
      <c r="J105" s="1395" t="s">
        <v>1566</v>
      </c>
      <c r="K105" s="1394">
        <v>2359</v>
      </c>
      <c r="L105" s="1395" t="s">
        <v>1731</v>
      </c>
      <c r="M105" s="1395" t="s">
        <v>1172</v>
      </c>
    </row>
    <row r="106" spans="4:13" ht="45">
      <c r="D106" s="1394">
        <v>5384</v>
      </c>
      <c r="E106" s="1395" t="s">
        <v>1732</v>
      </c>
      <c r="F106" s="1395" t="s">
        <v>266</v>
      </c>
      <c r="G106" s="1396">
        <v>41423</v>
      </c>
      <c r="H106" s="470"/>
      <c r="I106" s="1395" t="s">
        <v>961</v>
      </c>
      <c r="J106" s="1395" t="s">
        <v>1566</v>
      </c>
      <c r="K106" s="1394">
        <v>2360</v>
      </c>
      <c r="L106" s="1395" t="s">
        <v>1733</v>
      </c>
      <c r="M106" s="1395" t="s">
        <v>1172</v>
      </c>
    </row>
    <row r="107" spans="4:13" ht="45">
      <c r="D107" s="1394">
        <v>5385</v>
      </c>
      <c r="E107" s="1395" t="s">
        <v>1734</v>
      </c>
      <c r="F107" s="1395" t="s">
        <v>271</v>
      </c>
      <c r="G107" s="1396">
        <v>41379</v>
      </c>
      <c r="H107" s="470"/>
      <c r="I107" s="1395" t="s">
        <v>961</v>
      </c>
      <c r="J107" s="1395" t="s">
        <v>1566</v>
      </c>
      <c r="K107" s="1394">
        <v>2361</v>
      </c>
      <c r="L107" s="1395" t="s">
        <v>1735</v>
      </c>
      <c r="M107" s="1395" t="s">
        <v>1172</v>
      </c>
    </row>
    <row r="108" spans="4:13" ht="45">
      <c r="D108" s="1394">
        <v>5386</v>
      </c>
      <c r="E108" s="1395" t="s">
        <v>1736</v>
      </c>
      <c r="F108" s="1395" t="s">
        <v>236</v>
      </c>
      <c r="G108" s="1396">
        <v>41212</v>
      </c>
      <c r="H108" s="470"/>
      <c r="I108" s="1395" t="s">
        <v>961</v>
      </c>
      <c r="J108" s="1395" t="s">
        <v>1566</v>
      </c>
      <c r="K108" s="1394">
        <v>2362</v>
      </c>
      <c r="L108" s="1395" t="s">
        <v>1737</v>
      </c>
      <c r="M108" s="1395" t="s">
        <v>1172</v>
      </c>
    </row>
    <row r="109" spans="4:13" ht="15" hidden="1">
      <c r="D109" s="1394">
        <v>5697</v>
      </c>
      <c r="E109" s="1395" t="s">
        <v>1738</v>
      </c>
      <c r="F109" s="1395" t="s">
        <v>156</v>
      </c>
      <c r="G109" s="1396">
        <v>41143</v>
      </c>
      <c r="H109" s="1397">
        <v>41128</v>
      </c>
      <c r="I109" s="1395" t="s">
        <v>961</v>
      </c>
      <c r="J109" s="1395" t="s">
        <v>114</v>
      </c>
      <c r="K109" s="1394">
        <v>2382</v>
      </c>
      <c r="L109" s="1395" t="s">
        <v>1739</v>
      </c>
      <c r="M109" s="1395" t="s">
        <v>1546</v>
      </c>
    </row>
    <row r="110" spans="4:13" ht="30" hidden="1">
      <c r="D110" s="1394">
        <v>5707</v>
      </c>
      <c r="E110" s="1395" t="s">
        <v>1740</v>
      </c>
      <c r="F110" s="1395" t="s">
        <v>157</v>
      </c>
      <c r="G110" s="1396">
        <v>41235</v>
      </c>
      <c r="H110" s="1397">
        <v>41207</v>
      </c>
      <c r="I110" s="1395" t="s">
        <v>961</v>
      </c>
      <c r="J110" s="1395" t="s">
        <v>114</v>
      </c>
      <c r="K110" s="1394">
        <v>2386</v>
      </c>
      <c r="L110" s="1395" t="s">
        <v>1741</v>
      </c>
      <c r="M110" s="1395" t="s">
        <v>1546</v>
      </c>
    </row>
    <row r="111" spans="4:13" ht="15" hidden="1">
      <c r="D111" s="1394">
        <v>6072</v>
      </c>
      <c r="E111" s="1395" t="s">
        <v>1742</v>
      </c>
      <c r="F111" s="1395" t="s">
        <v>1743</v>
      </c>
      <c r="G111" s="1396">
        <v>41204</v>
      </c>
      <c r="H111" s="1397">
        <v>41164</v>
      </c>
      <c r="I111" s="1395" t="s">
        <v>961</v>
      </c>
      <c r="J111" s="1395" t="s">
        <v>114</v>
      </c>
      <c r="K111" s="1394">
        <v>2407</v>
      </c>
      <c r="L111" s="1395" t="s">
        <v>1744</v>
      </c>
      <c r="M111" s="1395" t="s">
        <v>1546</v>
      </c>
    </row>
    <row r="112" spans="4:13" ht="30" hidden="1">
      <c r="D112" s="1394">
        <v>6585</v>
      </c>
      <c r="E112" s="1395" t="s">
        <v>1745</v>
      </c>
      <c r="F112" s="1395" t="s">
        <v>158</v>
      </c>
      <c r="G112" s="1396">
        <v>41082</v>
      </c>
      <c r="H112" s="1397">
        <v>41078</v>
      </c>
      <c r="I112" s="1395" t="s">
        <v>961</v>
      </c>
      <c r="J112" s="1395" t="s">
        <v>114</v>
      </c>
      <c r="K112" s="1394">
        <v>2444</v>
      </c>
      <c r="L112" s="1395" t="s">
        <v>1746</v>
      </c>
      <c r="M112" s="1395" t="s">
        <v>1546</v>
      </c>
    </row>
    <row r="113" spans="4:13" ht="30" hidden="1">
      <c r="D113" s="1394">
        <v>6587</v>
      </c>
      <c r="E113" s="1395" t="s">
        <v>1747</v>
      </c>
      <c r="F113" s="1395" t="s">
        <v>159</v>
      </c>
      <c r="G113" s="1396">
        <v>41021</v>
      </c>
      <c r="H113" s="470"/>
      <c r="I113" s="1395" t="s">
        <v>961</v>
      </c>
      <c r="J113" s="1395" t="s">
        <v>114</v>
      </c>
      <c r="K113" s="1394">
        <v>2445</v>
      </c>
      <c r="L113" s="1395" t="s">
        <v>1748</v>
      </c>
      <c r="M113" s="1395" t="s">
        <v>1546</v>
      </c>
    </row>
    <row r="114" spans="4:13" ht="30" hidden="1">
      <c r="D114" s="1394">
        <v>6600</v>
      </c>
      <c r="E114" s="1395" t="s">
        <v>1749</v>
      </c>
      <c r="F114" s="1395" t="s">
        <v>160</v>
      </c>
      <c r="G114" s="1396">
        <v>41149</v>
      </c>
      <c r="H114" s="470"/>
      <c r="I114" s="1395" t="s">
        <v>961</v>
      </c>
      <c r="J114" s="1395" t="s">
        <v>114</v>
      </c>
      <c r="K114" s="1394">
        <v>2452</v>
      </c>
      <c r="L114" s="1395" t="s">
        <v>1750</v>
      </c>
      <c r="M114" s="1395" t="s">
        <v>1546</v>
      </c>
    </row>
    <row r="115" spans="4:13" ht="60">
      <c r="D115" s="1394">
        <v>6609</v>
      </c>
      <c r="E115" s="1395" t="s">
        <v>1751</v>
      </c>
      <c r="F115" s="1395" t="s">
        <v>259</v>
      </c>
      <c r="G115" s="1396">
        <v>41411</v>
      </c>
      <c r="H115" s="470"/>
      <c r="I115" s="1395" t="s">
        <v>961</v>
      </c>
      <c r="J115" s="1395" t="s">
        <v>1566</v>
      </c>
      <c r="K115" s="1394">
        <v>2455</v>
      </c>
      <c r="L115" s="1395" t="s">
        <v>1752</v>
      </c>
      <c r="M115" s="1395" t="s">
        <v>1172</v>
      </c>
    </row>
    <row r="116" spans="4:13" ht="45">
      <c r="D116" s="1394">
        <v>6610</v>
      </c>
      <c r="E116" s="1395" t="s">
        <v>1753</v>
      </c>
      <c r="F116" s="1395" t="s">
        <v>253</v>
      </c>
      <c r="G116" s="1396">
        <v>41243</v>
      </c>
      <c r="H116" s="470"/>
      <c r="I116" s="1395" t="s">
        <v>961</v>
      </c>
      <c r="J116" s="1395" t="s">
        <v>1566</v>
      </c>
      <c r="K116" s="1394">
        <v>2456</v>
      </c>
      <c r="L116" s="1395" t="s">
        <v>1754</v>
      </c>
      <c r="M116" s="1395" t="s">
        <v>1172</v>
      </c>
    </row>
    <row r="117" spans="4:13" ht="30" hidden="1">
      <c r="D117" s="1394">
        <v>6611</v>
      </c>
      <c r="E117" s="1395" t="s">
        <v>1755</v>
      </c>
      <c r="F117" s="1395" t="s">
        <v>162</v>
      </c>
      <c r="G117" s="1396">
        <v>40943</v>
      </c>
      <c r="H117" s="470"/>
      <c r="I117" s="1395" t="s">
        <v>961</v>
      </c>
      <c r="J117" s="1395" t="s">
        <v>114</v>
      </c>
      <c r="K117" s="1394">
        <v>2457</v>
      </c>
      <c r="L117" s="1395" t="s">
        <v>1756</v>
      </c>
      <c r="M117" s="1395" t="s">
        <v>1546</v>
      </c>
    </row>
    <row r="118" spans="4:13" ht="30" hidden="1">
      <c r="D118" s="1394">
        <v>6612</v>
      </c>
      <c r="E118" s="1395" t="s">
        <v>1757</v>
      </c>
      <c r="F118" s="1395" t="s">
        <v>163</v>
      </c>
      <c r="G118" s="1396">
        <v>41082</v>
      </c>
      <c r="H118" s="1397">
        <v>41078</v>
      </c>
      <c r="I118" s="1395" t="s">
        <v>961</v>
      </c>
      <c r="J118" s="1395" t="s">
        <v>1566</v>
      </c>
      <c r="K118" s="1394">
        <v>2458</v>
      </c>
      <c r="L118" s="1395" t="s">
        <v>1758</v>
      </c>
      <c r="M118" s="1395" t="s">
        <v>1546</v>
      </c>
    </row>
    <row r="119" spans="4:13" ht="30">
      <c r="D119" s="1394">
        <v>6896</v>
      </c>
      <c r="E119" s="1395" t="s">
        <v>1759</v>
      </c>
      <c r="F119" s="1395" t="s">
        <v>252</v>
      </c>
      <c r="G119" s="1396">
        <v>41182</v>
      </c>
      <c r="H119" s="470"/>
      <c r="I119" s="1395" t="s">
        <v>961</v>
      </c>
      <c r="J119" s="1395" t="s">
        <v>1566</v>
      </c>
      <c r="K119" s="1394">
        <v>2479</v>
      </c>
      <c r="L119" s="1395" t="s">
        <v>1760</v>
      </c>
      <c r="M119" s="1395" t="s">
        <v>1172</v>
      </c>
    </row>
    <row r="120" spans="4:13" ht="45">
      <c r="D120" s="1394">
        <v>6897</v>
      </c>
      <c r="E120" s="1395" t="s">
        <v>1761</v>
      </c>
      <c r="F120" s="1395" t="s">
        <v>1762</v>
      </c>
      <c r="G120" s="1396">
        <v>41182</v>
      </c>
      <c r="H120" s="470"/>
      <c r="I120" s="1395" t="s">
        <v>961</v>
      </c>
      <c r="J120" s="1395" t="s">
        <v>1566</v>
      </c>
      <c r="K120" s="1394">
        <v>2480</v>
      </c>
      <c r="L120" s="1395" t="s">
        <v>1763</v>
      </c>
      <c r="M120" s="1395" t="s">
        <v>1172</v>
      </c>
    </row>
    <row r="121" spans="4:13" ht="30">
      <c r="D121" s="1394">
        <v>6898</v>
      </c>
      <c r="E121" s="1395" t="s">
        <v>1764</v>
      </c>
      <c r="F121" s="1395" t="s">
        <v>299</v>
      </c>
      <c r="G121" s="1396">
        <v>41182</v>
      </c>
      <c r="H121" s="470"/>
      <c r="I121" s="1395" t="s">
        <v>961</v>
      </c>
      <c r="J121" s="1395" t="s">
        <v>1566</v>
      </c>
      <c r="K121" s="1394">
        <v>2481</v>
      </c>
      <c r="L121" s="1395" t="s">
        <v>1765</v>
      </c>
      <c r="M121" s="1395" t="s">
        <v>1172</v>
      </c>
    </row>
    <row r="122" spans="4:13" ht="30">
      <c r="D122" s="1394">
        <v>7016</v>
      </c>
      <c r="E122" s="1395" t="s">
        <v>1766</v>
      </c>
      <c r="F122" s="1395" t="s">
        <v>370</v>
      </c>
      <c r="G122" s="1396">
        <v>41182</v>
      </c>
      <c r="H122" s="470"/>
      <c r="I122" s="1395" t="s">
        <v>961</v>
      </c>
      <c r="J122" s="1395" t="s">
        <v>1566</v>
      </c>
      <c r="K122" s="1394">
        <v>2496</v>
      </c>
      <c r="L122" s="1395" t="s">
        <v>1767</v>
      </c>
      <c r="M122" s="1395" t="s">
        <v>1172</v>
      </c>
    </row>
    <row r="123" spans="4:13" ht="30" hidden="1">
      <c r="D123" s="1394">
        <v>7019</v>
      </c>
      <c r="E123" s="1395" t="s">
        <v>1768</v>
      </c>
      <c r="F123" s="1395" t="s">
        <v>164</v>
      </c>
      <c r="G123" s="1396">
        <v>41214</v>
      </c>
      <c r="H123" s="1397">
        <v>41214</v>
      </c>
      <c r="I123" s="1395" t="s">
        <v>961</v>
      </c>
      <c r="J123" s="1395" t="s">
        <v>114</v>
      </c>
      <c r="K123" s="1394">
        <v>2497</v>
      </c>
      <c r="L123" s="1395" t="s">
        <v>1769</v>
      </c>
      <c r="M123" s="1395" t="s">
        <v>1546</v>
      </c>
    </row>
    <row r="124" spans="4:13" ht="30">
      <c r="D124" s="1394">
        <v>7371</v>
      </c>
      <c r="E124" s="1395" t="s">
        <v>1770</v>
      </c>
      <c r="F124" s="1395" t="s">
        <v>165</v>
      </c>
      <c r="G124" s="1396">
        <v>41485</v>
      </c>
      <c r="H124" s="470"/>
      <c r="I124" s="1395" t="s">
        <v>961</v>
      </c>
      <c r="J124" s="1395" t="s">
        <v>1566</v>
      </c>
      <c r="K124" s="1394">
        <v>2527</v>
      </c>
      <c r="L124" s="1395" t="s">
        <v>1771</v>
      </c>
      <c r="M124" s="1395" t="s">
        <v>1172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1772</v>
      </c>
      <c r="G3" s="424" t="s">
        <v>1773</v>
      </c>
    </row>
    <row r="4" spans="2:7">
      <c r="B4" s="435" t="s">
        <v>1774</v>
      </c>
      <c r="C4" s="435" t="s">
        <v>1775</v>
      </c>
      <c r="D4" s="435" t="s">
        <v>854</v>
      </c>
      <c r="E4" s="424"/>
      <c r="F4" s="1398" t="s">
        <v>1776</v>
      </c>
      <c r="G4" s="1399" t="e">
        <f>(C10*G7)/G5</f>
        <v>#REF!</v>
      </c>
    </row>
    <row r="5" spans="2:7">
      <c r="B5" s="1400" t="s">
        <v>1777</v>
      </c>
      <c r="C5" s="1401"/>
      <c r="D5" s="1402"/>
      <c r="F5" s="1398" t="s">
        <v>1778</v>
      </c>
      <c r="G5" s="1403" t="e">
        <f>(((1+C7)^G6)*C7)/(((1+C7)^G6)-1)</f>
        <v>#REF!</v>
      </c>
    </row>
    <row r="6" spans="2:7">
      <c r="B6" s="1400" t="s">
        <v>1779</v>
      </c>
      <c r="C6" s="1401"/>
      <c r="D6" s="1402"/>
      <c r="F6" s="1398" t="s">
        <v>1780</v>
      </c>
      <c r="G6" s="1404" t="e">
        <f>G7/(C8*C9)</f>
        <v>#REF!</v>
      </c>
    </row>
    <row r="7" spans="2:7">
      <c r="B7" s="1400" t="s">
        <v>1781</v>
      </c>
      <c r="C7" s="1405">
        <f>'BD-NET'!Q114</f>
        <v>8.1942000000000001E-2</v>
      </c>
      <c r="D7" s="1402"/>
      <c r="F7" s="1398" t="s">
        <v>1782</v>
      </c>
      <c r="G7" s="1406">
        <f>12*(20000*C6+10000*C5)</f>
        <v>0</v>
      </c>
    </row>
    <row r="8" spans="2:7">
      <c r="B8" s="1400" t="s">
        <v>1783</v>
      </c>
      <c r="C8" s="1407" t="e">
        <f>C24</f>
        <v>#REF!</v>
      </c>
      <c r="D8" s="1408" t="s">
        <v>1784</v>
      </c>
    </row>
    <row r="9" spans="2:7">
      <c r="B9" s="1400" t="s">
        <v>1785</v>
      </c>
      <c r="C9" s="1409"/>
      <c r="D9" s="1402"/>
    </row>
    <row r="10" spans="2:7">
      <c r="B10" s="1400" t="s">
        <v>1786</v>
      </c>
      <c r="C10" s="1410" t="e">
        <f>F14</f>
        <v>#REF!</v>
      </c>
      <c r="D10" s="1402"/>
    </row>
    <row r="12" spans="2:7">
      <c r="B12" s="435" t="s">
        <v>1787</v>
      </c>
      <c r="C12" s="435" t="s">
        <v>723</v>
      </c>
      <c r="D12" s="435" t="s">
        <v>1788</v>
      </c>
      <c r="E12" s="435" t="s">
        <v>1789</v>
      </c>
      <c r="F12" s="435" t="s">
        <v>1790</v>
      </c>
    </row>
    <row r="13" spans="2:7" ht="13.5" thickBot="1">
      <c r="B13" s="1400" t="s">
        <v>1791</v>
      </c>
      <c r="C13" s="1411" t="e">
        <f>C38</f>
        <v>#REF!</v>
      </c>
      <c r="D13" s="1400"/>
      <c r="E13" s="1400"/>
      <c r="F13" s="1412"/>
    </row>
    <row r="14" spans="2:7" ht="13.5" thickBot="1">
      <c r="B14" s="1400" t="s">
        <v>1792</v>
      </c>
      <c r="C14" s="1411" t="e">
        <f>(C32+E55)*($C$38/$C$35)</f>
        <v>#REF!</v>
      </c>
      <c r="D14" s="1413" t="e">
        <f>$C$17*(C14/($C$14+$C$15+$C$16))</f>
        <v>#REF!</v>
      </c>
      <c r="E14" s="1414" t="e">
        <f>C14-D14</f>
        <v>#REF!</v>
      </c>
      <c r="F14" s="458" t="e">
        <f>E14/$C$13</f>
        <v>#REF!</v>
      </c>
      <c r="G14" s="459" t="s">
        <v>1793</v>
      </c>
    </row>
    <row r="15" spans="2:7">
      <c r="B15" s="1400" t="s">
        <v>1794</v>
      </c>
      <c r="C15" s="1411" t="e">
        <f>C27*($C$38/$C$35)</f>
        <v>#REF!</v>
      </c>
      <c r="D15" s="1413" t="e">
        <f>$C$17*(C15/($C$14+$C$15+$C$16))</f>
        <v>#REF!</v>
      </c>
      <c r="E15" s="1413" t="e">
        <f>C15-D15</f>
        <v>#REF!</v>
      </c>
      <c r="F15" s="1415" t="e">
        <f>E15/$C$13</f>
        <v>#REF!</v>
      </c>
    </row>
    <row r="16" spans="2:7">
      <c r="B16" s="1400" t="s">
        <v>1795</v>
      </c>
      <c r="C16" s="1411" t="e">
        <f>(C33+D54)*($C$38/$C$35)</f>
        <v>#REF!</v>
      </c>
      <c r="D16" s="1413" t="e">
        <f>$C$17*(C16/($C$14+$C$15+$C$16))</f>
        <v>#REF!</v>
      </c>
      <c r="E16" s="1413" t="e">
        <f>C16-D16</f>
        <v>#REF!</v>
      </c>
      <c r="F16" s="1416" t="e">
        <f>E16/$C$13</f>
        <v>#REF!</v>
      </c>
    </row>
    <row r="17" spans="2:6">
      <c r="B17" s="1400" t="s">
        <v>1796</v>
      </c>
      <c r="C17" s="1411" t="e">
        <f>C39</f>
        <v>#REF!</v>
      </c>
      <c r="D17" s="1400"/>
      <c r="E17" s="1400"/>
      <c r="F17" s="1417" t="e">
        <f>C17/C13</f>
        <v>#REF!</v>
      </c>
    </row>
    <row r="18" spans="2:6">
      <c r="D18" s="440" t="e">
        <f>SUM(D14:D17)</f>
        <v>#REF!</v>
      </c>
      <c r="F18" s="1418" t="e">
        <f>SUM(F14:F17)</f>
        <v>#REF!</v>
      </c>
    </row>
    <row r="19" spans="2:6">
      <c r="B19" s="431" t="s">
        <v>1797</v>
      </c>
    </row>
    <row r="20" spans="2:6">
      <c r="B20" s="431"/>
    </row>
    <row r="21" spans="2:6">
      <c r="B21" s="1419" t="s">
        <v>1798</v>
      </c>
      <c r="C21" s="1420" t="e">
        <f>LnkTxtPBCAOMCAA</f>
        <v>#NAME?</v>
      </c>
    </row>
    <row r="22" spans="2:6">
      <c r="B22" s="432" t="s">
        <v>1799</v>
      </c>
      <c r="C22" s="433">
        <v>1.15E-2</v>
      </c>
    </row>
    <row r="23" spans="2:6">
      <c r="B23" s="432" t="s">
        <v>1800</v>
      </c>
      <c r="C23" s="433">
        <v>0</v>
      </c>
    </row>
    <row r="24" spans="2:6">
      <c r="B24" s="1419" t="s">
        <v>1801</v>
      </c>
      <c r="C24" s="1420" t="e">
        <f>#REF!+#REF!</f>
        <v>#REF!</v>
      </c>
    </row>
    <row r="27" spans="2:6">
      <c r="B27" s="1419" t="s">
        <v>1802</v>
      </c>
      <c r="C27" s="1420" t="e">
        <f>#REF!</f>
        <v>#REF!</v>
      </c>
    </row>
    <row r="28" spans="2:6">
      <c r="B28" s="432" t="s">
        <v>1803</v>
      </c>
      <c r="C28" s="438" t="e">
        <f>#REF!</f>
        <v>#REF!</v>
      </c>
    </row>
    <row r="29" spans="2:6">
      <c r="B29" s="432" t="s">
        <v>1804</v>
      </c>
      <c r="C29" s="438"/>
    </row>
    <row r="30" spans="2:6">
      <c r="B30" s="432" t="s">
        <v>1805</v>
      </c>
      <c r="C30" s="438" t="e">
        <f>#REF!</f>
        <v>#REF!</v>
      </c>
    </row>
    <row r="31" spans="2:6">
      <c r="B31" s="1419" t="s">
        <v>1806</v>
      </c>
      <c r="C31" s="1420" t="e">
        <f>#REF!</f>
        <v>#REF!</v>
      </c>
    </row>
    <row r="32" spans="2:6">
      <c r="B32" s="432" t="s">
        <v>1807</v>
      </c>
      <c r="C32" s="438" t="e">
        <f>#REF!</f>
        <v>#REF!</v>
      </c>
    </row>
    <row r="33" spans="2:4">
      <c r="B33" s="432" t="s">
        <v>1808</v>
      </c>
      <c r="C33" s="438" t="e">
        <f>#REF!</f>
        <v>#REF!</v>
      </c>
    </row>
    <row r="34" spans="2:4">
      <c r="B34" s="432" t="s">
        <v>1809</v>
      </c>
      <c r="C34" s="438" t="e">
        <f>#REF!</f>
        <v>#REF!</v>
      </c>
    </row>
    <row r="35" spans="2:4">
      <c r="B35" s="1419" t="s">
        <v>1798</v>
      </c>
      <c r="C35" s="1420" t="e">
        <f>C21</f>
        <v>#NAME?</v>
      </c>
    </row>
    <row r="36" spans="2:4">
      <c r="B36" s="432" t="s">
        <v>1799</v>
      </c>
      <c r="C36" s="433">
        <f>C22</f>
        <v>1.15E-2</v>
      </c>
    </row>
    <row r="37" spans="2:4">
      <c r="B37" s="432" t="s">
        <v>1800</v>
      </c>
      <c r="C37" s="433">
        <f>C23</f>
        <v>0</v>
      </c>
    </row>
    <row r="38" spans="2:4">
      <c r="B38" s="1419" t="s">
        <v>1801</v>
      </c>
      <c r="C38" s="1420" t="e">
        <f>C24</f>
        <v>#REF!</v>
      </c>
    </row>
    <row r="39" spans="2:4">
      <c r="B39" s="432" t="s">
        <v>1810</v>
      </c>
      <c r="C39" s="438" t="e">
        <f>#REF!</f>
        <v>#REF!</v>
      </c>
    </row>
    <row r="40" spans="2:4">
      <c r="B40" s="1421" t="s">
        <v>1811</v>
      </c>
      <c r="C40" s="1422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1812</v>
      </c>
      <c r="C2" s="427"/>
      <c r="H2" s="428" t="s">
        <v>1813</v>
      </c>
    </row>
    <row r="3" spans="2:17">
      <c r="B3" s="1423" t="s">
        <v>1774</v>
      </c>
      <c r="C3" s="1423" t="s">
        <v>1775</v>
      </c>
      <c r="D3" s="1424" t="s">
        <v>854</v>
      </c>
      <c r="E3" s="1424" t="s">
        <v>1814</v>
      </c>
      <c r="F3" s="1424" t="s">
        <v>1815</v>
      </c>
      <c r="H3" s="428" t="s">
        <v>1816</v>
      </c>
      <c r="M3" s="423" t="s">
        <v>1817</v>
      </c>
      <c r="O3" s="423" t="s">
        <v>1817</v>
      </c>
      <c r="P3" s="423" t="s">
        <v>1817</v>
      </c>
    </row>
    <row r="4" spans="2:17">
      <c r="B4" s="1425" t="s">
        <v>1818</v>
      </c>
      <c r="C4" s="1426" t="e">
        <f>12*C5*(1-$E$13)*1/$E$16</f>
        <v>#DIV/0!</v>
      </c>
      <c r="D4" s="1402" t="s">
        <v>1819</v>
      </c>
      <c r="E4" s="1402"/>
      <c r="F4" s="1402"/>
      <c r="H4" s="1423" t="s">
        <v>1820</v>
      </c>
      <c r="I4" s="1423" t="s">
        <v>1821</v>
      </c>
      <c r="J4" s="1423" t="s">
        <v>1822</v>
      </c>
      <c r="K4" s="1423" t="s">
        <v>1823</v>
      </c>
      <c r="L4" s="1423" t="s">
        <v>1824</v>
      </c>
      <c r="M4" s="1423" t="s">
        <v>895</v>
      </c>
      <c r="N4" s="1423" t="s">
        <v>533</v>
      </c>
      <c r="O4" s="1423" t="s">
        <v>537</v>
      </c>
      <c r="P4" s="1423" t="s">
        <v>535</v>
      </c>
      <c r="Q4" s="1423" t="s">
        <v>538</v>
      </c>
    </row>
    <row r="5" spans="2:17">
      <c r="B5" s="1425" t="s">
        <v>1779</v>
      </c>
      <c r="C5" s="1427"/>
      <c r="D5" s="1402"/>
      <c r="E5" s="1402"/>
      <c r="F5" s="1402" t="s">
        <v>1825</v>
      </c>
      <c r="H5" s="1425" t="s">
        <v>1818</v>
      </c>
      <c r="I5" s="1426" t="e">
        <f t="shared" ref="I5:Q5" si="0">12*I6*(1-$E$13)*1/$E$16</f>
        <v>#DIV/0!</v>
      </c>
      <c r="J5" s="1426" t="e">
        <f t="shared" si="0"/>
        <v>#DIV/0!</v>
      </c>
      <c r="K5" s="1426" t="e">
        <f t="shared" si="0"/>
        <v>#DIV/0!</v>
      </c>
      <c r="L5" s="1426" t="e">
        <f t="shared" si="0"/>
        <v>#DIV/0!</v>
      </c>
      <c r="M5" s="1426" t="e">
        <f t="shared" si="0"/>
        <v>#DIV/0!</v>
      </c>
      <c r="N5" s="1426" t="e">
        <f t="shared" si="0"/>
        <v>#DIV/0!</v>
      </c>
      <c r="O5" s="1426" t="e">
        <f t="shared" si="0"/>
        <v>#DIV/0!</v>
      </c>
      <c r="P5" s="1426" t="e">
        <f t="shared" si="0"/>
        <v>#DIV/0!</v>
      </c>
      <c r="Q5" s="1426" t="e">
        <f t="shared" si="0"/>
        <v>#DIV/0!</v>
      </c>
    </row>
    <row r="6" spans="2:17">
      <c r="B6" s="1425" t="s">
        <v>1826</v>
      </c>
      <c r="C6" s="1428"/>
      <c r="D6" s="1402" t="s">
        <v>1827</v>
      </c>
      <c r="E6" s="1402"/>
      <c r="F6" s="1429"/>
      <c r="H6" s="1425" t="s">
        <v>1779</v>
      </c>
      <c r="I6" s="1430"/>
      <c r="J6" s="1430"/>
      <c r="K6" s="1430"/>
      <c r="L6" s="1430"/>
      <c r="M6" s="1401"/>
      <c r="N6" s="1431"/>
      <c r="O6" s="1401"/>
      <c r="P6" s="1401"/>
      <c r="Q6" s="1401"/>
    </row>
    <row r="7" spans="2:17">
      <c r="B7" s="1425" t="s">
        <v>1828</v>
      </c>
      <c r="C7" s="1428"/>
      <c r="D7" s="1402" t="s">
        <v>1829</v>
      </c>
      <c r="E7" s="1402"/>
      <c r="F7" s="1429"/>
      <c r="H7" s="1425" t="s">
        <v>1826</v>
      </c>
      <c r="I7" s="1874">
        <f>C6</f>
        <v>0</v>
      </c>
      <c r="J7" s="1875"/>
      <c r="K7" s="1875"/>
      <c r="L7" s="1875"/>
      <c r="M7" s="1875"/>
      <c r="N7" s="1875"/>
      <c r="O7" s="1875"/>
      <c r="P7" s="1875"/>
      <c r="Q7" s="1876"/>
    </row>
    <row r="8" spans="2:17">
      <c r="B8" s="1425" t="s">
        <v>1830</v>
      </c>
      <c r="C8" s="1432"/>
      <c r="D8" s="1402" t="s">
        <v>1831</v>
      </c>
      <c r="E8" s="1402" t="s">
        <v>1832</v>
      </c>
      <c r="F8" s="1433"/>
      <c r="G8" s="429"/>
      <c r="H8" s="1425" t="s">
        <v>1830</v>
      </c>
      <c r="I8" s="1877">
        <f>C8</f>
        <v>0</v>
      </c>
      <c r="J8" s="1878"/>
      <c r="K8" s="1878"/>
      <c r="L8" s="1878"/>
      <c r="M8" s="1878"/>
      <c r="N8" s="1878"/>
      <c r="O8" s="1878"/>
      <c r="P8" s="1878"/>
      <c r="Q8" s="1879"/>
    </row>
    <row r="9" spans="2:17">
      <c r="B9" s="1425" t="s">
        <v>1833</v>
      </c>
      <c r="C9" s="1428"/>
      <c r="D9" s="1402" t="s">
        <v>1834</v>
      </c>
      <c r="E9" s="1402"/>
      <c r="F9" s="1433"/>
      <c r="H9" s="1425" t="s">
        <v>1833</v>
      </c>
      <c r="I9" s="1874">
        <f>C9</f>
        <v>0</v>
      </c>
      <c r="J9" s="1875"/>
      <c r="K9" s="1875"/>
      <c r="L9" s="1875"/>
      <c r="M9" s="1875"/>
      <c r="N9" s="1875"/>
      <c r="O9" s="1875"/>
      <c r="P9" s="1875"/>
      <c r="Q9" s="1876"/>
    </row>
    <row r="10" spans="2:17">
      <c r="B10" s="1425" t="s">
        <v>1835</v>
      </c>
      <c r="C10" s="1432"/>
      <c r="D10" s="1402" t="s">
        <v>1836</v>
      </c>
      <c r="E10" s="1402" t="s">
        <v>1837</v>
      </c>
      <c r="F10" s="1433"/>
      <c r="G10" s="429"/>
      <c r="H10" s="1425" t="s">
        <v>1835</v>
      </c>
      <c r="I10" s="1880">
        <f>C10</f>
        <v>0</v>
      </c>
      <c r="J10" s="1881"/>
      <c r="K10" s="1881"/>
      <c r="L10" s="1881"/>
      <c r="M10" s="1881"/>
      <c r="N10" s="1881"/>
      <c r="O10" s="1881"/>
      <c r="P10" s="1881"/>
      <c r="Q10" s="1882"/>
    </row>
    <row r="12" spans="2:17">
      <c r="D12" s="426" t="s">
        <v>1838</v>
      </c>
    </row>
    <row r="13" spans="2:17">
      <c r="D13" s="1398" t="s">
        <v>1839</v>
      </c>
      <c r="E13" s="1434" t="e">
        <f>C10/C8</f>
        <v>#DIV/0!</v>
      </c>
      <c r="H13" s="428" t="s">
        <v>1840</v>
      </c>
      <c r="M13" s="430">
        <v>4.2321999999999997</v>
      </c>
    </row>
    <row r="14" spans="2:17">
      <c r="D14" s="1398" t="s">
        <v>1841</v>
      </c>
      <c r="E14" s="1435" t="e">
        <f>1/C9</f>
        <v>#DIV/0!</v>
      </c>
      <c r="H14" s="428" t="s">
        <v>1842</v>
      </c>
      <c r="M14" s="423">
        <v>1.01916916988504</v>
      </c>
    </row>
    <row r="15" spans="2:17">
      <c r="D15" s="1398" t="s">
        <v>1843</v>
      </c>
      <c r="E15" s="1436">
        <f>ROUND(C6/(1-C7),4)</f>
        <v>0</v>
      </c>
      <c r="H15" s="428" t="s">
        <v>1844</v>
      </c>
      <c r="M15" s="423">
        <f>M13*M14</f>
        <v>4.313327760787466</v>
      </c>
    </row>
    <row r="16" spans="2:17">
      <c r="D16" s="1398" t="s">
        <v>1778</v>
      </c>
      <c r="E16" s="1437" t="e">
        <f>(((1+E15)^E14)*E15)/((1+E15)^E14-1)</f>
        <v>#DIV/0!</v>
      </c>
      <c r="H16" s="428" t="s">
        <v>1845</v>
      </c>
      <c r="M16" s="423">
        <v>0.3</v>
      </c>
    </row>
    <row r="17" spans="2:13">
      <c r="H17" s="428" t="s">
        <v>1846</v>
      </c>
      <c r="M17" s="423">
        <v>0.4</v>
      </c>
    </row>
    <row r="18" spans="2:13">
      <c r="H18" s="428" t="s">
        <v>1847</v>
      </c>
      <c r="M18" s="423">
        <v>0</v>
      </c>
    </row>
    <row r="20" spans="2:13">
      <c r="B20" s="1419" t="s">
        <v>1798</v>
      </c>
      <c r="C20" s="1420" t="e">
        <f>'REN 473'!C21</f>
        <v>#NAME?</v>
      </c>
      <c r="E20" s="431" t="s">
        <v>1848</v>
      </c>
      <c r="F20" s="431"/>
    </row>
    <row r="21" spans="2:13">
      <c r="B21" s="432" t="s">
        <v>1799</v>
      </c>
      <c r="C21" s="433">
        <f>'REN 473'!C22</f>
        <v>1.15E-2</v>
      </c>
      <c r="E21" s="434" t="s">
        <v>776</v>
      </c>
      <c r="F21" s="435" t="s">
        <v>37</v>
      </c>
    </row>
    <row r="22" spans="2:13">
      <c r="B22" s="432" t="s">
        <v>1800</v>
      </c>
      <c r="C22" s="433">
        <f>'REN 473'!C23</f>
        <v>0</v>
      </c>
      <c r="E22" s="436" t="s">
        <v>1849</v>
      </c>
      <c r="F22" s="437"/>
    </row>
    <row r="23" spans="2:13">
      <c r="B23" s="1419" t="s">
        <v>1801</v>
      </c>
      <c r="C23" s="1420" t="e">
        <f>'REN 473'!C24</f>
        <v>#REF!</v>
      </c>
      <c r="E23" s="436" t="s">
        <v>1850</v>
      </c>
      <c r="F23" s="437"/>
    </row>
    <row r="24" spans="2:13">
      <c r="E24" s="436" t="s">
        <v>1851</v>
      </c>
      <c r="F24" s="437"/>
    </row>
    <row r="25" spans="2:13">
      <c r="B25" s="1419" t="s">
        <v>1802</v>
      </c>
      <c r="C25" s="1438"/>
      <c r="E25" s="436" t="s">
        <v>1852</v>
      </c>
      <c r="F25" s="437"/>
    </row>
    <row r="26" spans="2:13">
      <c r="B26" s="432" t="s">
        <v>1803</v>
      </c>
      <c r="C26" s="460"/>
      <c r="E26" s="1439" t="s">
        <v>1853</v>
      </c>
      <c r="F26" s="1440"/>
    </row>
    <row r="27" spans="2:13">
      <c r="B27" s="432" t="s">
        <v>1804</v>
      </c>
      <c r="C27" s="460"/>
      <c r="E27" s="436" t="s">
        <v>1854</v>
      </c>
      <c r="F27" s="439"/>
    </row>
    <row r="28" spans="2:13">
      <c r="B28" s="1421" t="s">
        <v>1805</v>
      </c>
      <c r="C28" s="1441"/>
      <c r="E28" s="1439" t="s">
        <v>1855</v>
      </c>
      <c r="F28" s="1440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1856</v>
      </c>
      <c r="C2" s="9" t="s">
        <v>37</v>
      </c>
    </row>
    <row r="3" spans="2:3">
      <c r="B3" s="64" t="s">
        <v>1857</v>
      </c>
      <c r="C3" t="e">
        <f t="shared" ref="C3:C66" ca="1" si="0">INDIRECT(B3)</f>
        <v>#REF!</v>
      </c>
    </row>
    <row r="4" spans="2:3">
      <c r="B4" s="64" t="s">
        <v>1858</v>
      </c>
      <c r="C4" t="e">
        <f t="shared" ca="1" si="0"/>
        <v>#REF!</v>
      </c>
    </row>
    <row r="5" spans="2:3">
      <c r="B5" s="64" t="s">
        <v>1859</v>
      </c>
      <c r="C5" t="e">
        <f t="shared" ca="1" si="0"/>
        <v>#REF!</v>
      </c>
    </row>
    <row r="6" spans="2:3">
      <c r="B6" s="64" t="s">
        <v>1860</v>
      </c>
      <c r="C6" t="e">
        <f t="shared" ca="1" si="0"/>
        <v>#REF!</v>
      </c>
    </row>
    <row r="7" spans="2:3">
      <c r="B7" s="64" t="s">
        <v>1861</v>
      </c>
      <c r="C7" t="e">
        <f t="shared" ca="1" si="0"/>
        <v>#REF!</v>
      </c>
    </row>
    <row r="8" spans="2:3">
      <c r="B8" s="64" t="s">
        <v>1862</v>
      </c>
      <c r="C8" t="e">
        <f t="shared" ca="1" si="0"/>
        <v>#REF!</v>
      </c>
    </row>
    <row r="9" spans="2:3">
      <c r="B9" s="64" t="s">
        <v>1863</v>
      </c>
      <c r="C9" t="e">
        <f t="shared" ca="1" si="0"/>
        <v>#REF!</v>
      </c>
    </row>
    <row r="10" spans="2:3">
      <c r="B10" s="64" t="s">
        <v>1864</v>
      </c>
      <c r="C10" t="e">
        <f t="shared" ca="1" si="0"/>
        <v>#REF!</v>
      </c>
    </row>
    <row r="11" spans="2:3">
      <c r="B11" s="64" t="s">
        <v>1865</v>
      </c>
      <c r="C11" t="e">
        <f t="shared" ca="1" si="0"/>
        <v>#REF!</v>
      </c>
    </row>
    <row r="12" spans="2:3">
      <c r="B12" s="63" t="s">
        <v>1866</v>
      </c>
      <c r="C12" t="e">
        <f t="shared" ca="1" si="0"/>
        <v>#REF!</v>
      </c>
    </row>
    <row r="13" spans="2:3">
      <c r="B13" s="63" t="s">
        <v>1867</v>
      </c>
      <c r="C13" t="e">
        <f t="shared" ca="1" si="0"/>
        <v>#REF!</v>
      </c>
    </row>
    <row r="14" spans="2:3">
      <c r="B14" s="63" t="s">
        <v>1868</v>
      </c>
      <c r="C14">
        <f t="shared" ca="1" si="0"/>
        <v>2022</v>
      </c>
    </row>
    <row r="15" spans="2:3">
      <c r="B15" s="63" t="s">
        <v>1869</v>
      </c>
      <c r="C15">
        <f t="shared" ca="1" si="0"/>
        <v>2022</v>
      </c>
    </row>
    <row r="16" spans="2:3">
      <c r="B16" s="63" t="s">
        <v>1870</v>
      </c>
      <c r="C16">
        <f t="shared" ca="1" si="0"/>
        <v>44834</v>
      </c>
    </row>
    <row r="17" spans="2:3">
      <c r="B17" s="63" t="s">
        <v>1871</v>
      </c>
      <c r="C17">
        <f t="shared" ca="1" si="0"/>
        <v>41304.089999999997</v>
      </c>
    </row>
    <row r="18" spans="2:3">
      <c r="B18" s="63" t="s">
        <v>1872</v>
      </c>
      <c r="C18">
        <f t="shared" ca="1" si="0"/>
        <v>0</v>
      </c>
    </row>
    <row r="19" spans="2:3">
      <c r="B19" s="63" t="s">
        <v>1873</v>
      </c>
      <c r="C19">
        <f t="shared" ca="1" si="0"/>
        <v>16319.413999999999</v>
      </c>
    </row>
    <row r="20" spans="2:3">
      <c r="B20" s="63" t="s">
        <v>1874</v>
      </c>
      <c r="C20" t="e">
        <f t="shared" ca="1" si="0"/>
        <v>#VALUE!</v>
      </c>
    </row>
    <row r="21" spans="2:3">
      <c r="B21" s="63" t="s">
        <v>1875</v>
      </c>
      <c r="C21">
        <f t="shared" ca="1" si="0"/>
        <v>5372</v>
      </c>
    </row>
    <row r="22" spans="2:3">
      <c r="B22" s="63" t="s">
        <v>1064</v>
      </c>
      <c r="C22">
        <f t="shared" ca="1" si="0"/>
        <v>216</v>
      </c>
    </row>
    <row r="23" spans="2:3">
      <c r="B23" s="63" t="s">
        <v>1876</v>
      </c>
      <c r="C23">
        <f t="shared" ca="1" si="0"/>
        <v>6.83005112162627E-3</v>
      </c>
    </row>
    <row r="24" spans="2:3">
      <c r="B24" s="63" t="s">
        <v>1877</v>
      </c>
      <c r="C24" t="e">
        <f t="shared" ca="1" si="0"/>
        <v>#REF!</v>
      </c>
    </row>
    <row r="25" spans="2:3">
      <c r="B25" s="63" t="s">
        <v>1878</v>
      </c>
      <c r="C25">
        <f t="shared" ca="1" si="0"/>
        <v>0</v>
      </c>
    </row>
    <row r="26" spans="2:3">
      <c r="B26" s="63" t="s">
        <v>1879</v>
      </c>
      <c r="C26">
        <f t="shared" ca="1" si="0"/>
        <v>0</v>
      </c>
    </row>
    <row r="27" spans="2:3">
      <c r="B27" s="63" t="s">
        <v>1880</v>
      </c>
      <c r="C27" t="e">
        <f t="shared" ca="1" si="0"/>
        <v>#REF!</v>
      </c>
    </row>
    <row r="28" spans="2:3">
      <c r="B28" s="63" t="s">
        <v>1881</v>
      </c>
      <c r="C28" t="e">
        <f t="shared" ca="1" si="0"/>
        <v>#REF!</v>
      </c>
    </row>
    <row r="29" spans="2:3">
      <c r="B29" s="63" t="s">
        <v>1882</v>
      </c>
      <c r="C29">
        <f t="shared" ca="1" si="0"/>
        <v>0</v>
      </c>
    </row>
    <row r="30" spans="2:3">
      <c r="B30" s="63" t="s">
        <v>1883</v>
      </c>
      <c r="C30">
        <f t="shared" ca="1" si="0"/>
        <v>5353</v>
      </c>
    </row>
    <row r="31" spans="2:3">
      <c r="B31" s="63" t="s">
        <v>1884</v>
      </c>
      <c r="C31">
        <f t="shared" ca="1" si="0"/>
        <v>44834</v>
      </c>
    </row>
    <row r="32" spans="2:3">
      <c r="B32" s="63" t="s">
        <v>1885</v>
      </c>
      <c r="C32" t="e">
        <f t="shared" ca="1" si="0"/>
        <v>#REF!</v>
      </c>
    </row>
    <row r="33" spans="2:3">
      <c r="B33" s="63" t="s">
        <v>1886</v>
      </c>
      <c r="C33">
        <f t="shared" ca="1" si="0"/>
        <v>0.24324314350786316</v>
      </c>
    </row>
    <row r="34" spans="2:3">
      <c r="B34" s="63" t="s">
        <v>1887</v>
      </c>
      <c r="C34" t="e">
        <f t="shared" ca="1" si="0"/>
        <v>#REF!</v>
      </c>
    </row>
    <row r="35" spans="2:3">
      <c r="B35" s="63" t="s">
        <v>1888</v>
      </c>
      <c r="C35">
        <f t="shared" ca="1" si="0"/>
        <v>0</v>
      </c>
    </row>
    <row r="36" spans="2:3">
      <c r="B36" s="63" t="s">
        <v>1889</v>
      </c>
      <c r="C36" t="e">
        <f t="shared" ca="1" si="0"/>
        <v>#REF!</v>
      </c>
    </row>
    <row r="37" spans="2:3">
      <c r="B37" s="63" t="s">
        <v>1890</v>
      </c>
      <c r="C37" t="e">
        <f t="shared" ca="1" si="0"/>
        <v>#REF!</v>
      </c>
    </row>
    <row r="38" spans="2:3">
      <c r="B38" s="64" t="s">
        <v>1891</v>
      </c>
      <c r="C38" t="e">
        <f t="shared" ca="1" si="0"/>
        <v>#REF!</v>
      </c>
    </row>
    <row r="39" spans="2:3">
      <c r="B39" s="63" t="s">
        <v>1892</v>
      </c>
      <c r="C39" t="e">
        <f t="shared" ca="1" si="0"/>
        <v>#REF!</v>
      </c>
    </row>
    <row r="40" spans="2:3">
      <c r="B40" s="63" t="s">
        <v>1893</v>
      </c>
      <c r="C40" t="e">
        <f t="shared" ca="1" si="0"/>
        <v>#REF!</v>
      </c>
    </row>
    <row r="41" spans="2:3">
      <c r="B41" s="63" t="s">
        <v>1894</v>
      </c>
      <c r="C41">
        <f t="shared" ca="1" si="0"/>
        <v>0.13355369294285313</v>
      </c>
    </row>
    <row r="42" spans="2:3">
      <c r="B42" s="63" t="s">
        <v>1895</v>
      </c>
      <c r="C42">
        <f t="shared" ca="1" si="0"/>
        <v>9.3138749879352112E-2</v>
      </c>
    </row>
    <row r="43" spans="2:3">
      <c r="B43" s="63" t="s">
        <v>1896</v>
      </c>
      <c r="C43">
        <f t="shared" ca="1" si="0"/>
        <v>0.19031773612001235</v>
      </c>
    </row>
    <row r="44" spans="2:3">
      <c r="B44" s="63" t="s">
        <v>1897</v>
      </c>
      <c r="C44" t="e">
        <f t="shared" ca="1" si="0"/>
        <v>#REF!</v>
      </c>
    </row>
    <row r="45" spans="2:3">
      <c r="B45" s="63" t="s">
        <v>1898</v>
      </c>
      <c r="C45" t="e">
        <f t="shared" ca="1" si="0"/>
        <v>#REF!</v>
      </c>
    </row>
    <row r="46" spans="2:3">
      <c r="B46" s="63" t="s">
        <v>1899</v>
      </c>
      <c r="C46" t="e">
        <f t="shared" ca="1" si="0"/>
        <v>#REF!</v>
      </c>
    </row>
    <row r="47" spans="2:3">
      <c r="B47" s="63" t="s">
        <v>1900</v>
      </c>
      <c r="C47">
        <f t="shared" ca="1" si="0"/>
        <v>0.13355369294285313</v>
      </c>
    </row>
    <row r="48" spans="2:3">
      <c r="B48" s="63" t="s">
        <v>1901</v>
      </c>
      <c r="C48">
        <f t="shared" ca="1" si="0"/>
        <v>0</v>
      </c>
    </row>
    <row r="49" spans="2:3">
      <c r="B49" s="63" t="s">
        <v>1902</v>
      </c>
      <c r="C49">
        <f t="shared" ca="1" si="0"/>
        <v>43268.810156217063</v>
      </c>
    </row>
    <row r="50" spans="2:3">
      <c r="B50" s="63" t="s">
        <v>1903</v>
      </c>
      <c r="C50">
        <f t="shared" ca="1" si="0"/>
        <v>0.11840000000000001</v>
      </c>
    </row>
    <row r="51" spans="2:3">
      <c r="B51" s="63" t="s">
        <v>1904</v>
      </c>
      <c r="C51">
        <f t="shared" ca="1" si="0"/>
        <v>41304.089999999997</v>
      </c>
    </row>
    <row r="52" spans="2:3">
      <c r="B52" s="63" t="s">
        <v>1905</v>
      </c>
      <c r="C52">
        <f t="shared" ca="1" si="0"/>
        <v>41304.089999999997</v>
      </c>
    </row>
    <row r="53" spans="2:3">
      <c r="B53" s="63" t="s">
        <v>1906</v>
      </c>
      <c r="C53">
        <f t="shared" ca="1" si="0"/>
        <v>0</v>
      </c>
    </row>
    <row r="54" spans="2:3">
      <c r="B54" s="63" t="s">
        <v>1907</v>
      </c>
      <c r="C54">
        <f t="shared" ca="1" si="0"/>
        <v>0.32142839727331973</v>
      </c>
    </row>
    <row r="55" spans="2:3">
      <c r="B55" s="63" t="s">
        <v>1908</v>
      </c>
      <c r="C55">
        <f t="shared" ca="1" si="0"/>
        <v>0</v>
      </c>
    </row>
    <row r="56" spans="2:3">
      <c r="B56" s="63" t="s">
        <v>1909</v>
      </c>
      <c r="C56">
        <f t="shared" ca="1" si="0"/>
        <v>0</v>
      </c>
    </row>
    <row r="57" spans="2:3">
      <c r="B57" s="63" t="s">
        <v>1910</v>
      </c>
      <c r="C57">
        <f t="shared" ca="1" si="0"/>
        <v>0.24324314350786316</v>
      </c>
    </row>
    <row r="58" spans="2:3">
      <c r="B58" s="63" t="s">
        <v>1911</v>
      </c>
      <c r="C58">
        <f t="shared" ca="1" si="0"/>
        <v>8.727291292620043E-2</v>
      </c>
    </row>
    <row r="59" spans="2:3">
      <c r="B59" s="63" t="s">
        <v>1912</v>
      </c>
      <c r="C59">
        <f t="shared" ca="1" si="0"/>
        <v>0</v>
      </c>
    </row>
    <row r="60" spans="2:3">
      <c r="B60" s="63" t="s">
        <v>1913</v>
      </c>
      <c r="C60" t="e">
        <f t="shared" ca="1" si="0"/>
        <v>#REF!</v>
      </c>
    </row>
    <row r="61" spans="2:3">
      <c r="B61" s="63" t="s">
        <v>1914</v>
      </c>
      <c r="C61">
        <f t="shared" ca="1" si="0"/>
        <v>-7.5461586662277785E-2</v>
      </c>
    </row>
    <row r="62" spans="2:3">
      <c r="B62" s="63" t="s">
        <v>1915</v>
      </c>
      <c r="C62">
        <f t="shared" ca="1" si="0"/>
        <v>0.1694</v>
      </c>
    </row>
    <row r="63" spans="2:3">
      <c r="B63" s="63" t="s">
        <v>1916</v>
      </c>
      <c r="C63">
        <f t="shared" ca="1" si="0"/>
        <v>7.5694105499863204E-2</v>
      </c>
    </row>
    <row r="64" spans="2:3">
      <c r="B64" s="63" t="s">
        <v>1917</v>
      </c>
      <c r="C64" t="e">
        <f t="shared" ca="1" si="0"/>
        <v>#REF!</v>
      </c>
    </row>
    <row r="65" spans="2:3">
      <c r="B65" s="63" t="s">
        <v>1918</v>
      </c>
      <c r="C65">
        <f t="shared" ca="1" si="0"/>
        <v>4.3988589148312628E-2</v>
      </c>
    </row>
    <row r="66" spans="2:3">
      <c r="B66" s="63" t="s">
        <v>1919</v>
      </c>
      <c r="C66">
        <f t="shared" ca="1" si="0"/>
        <v>0.12539926645513366</v>
      </c>
    </row>
    <row r="67" spans="2:3">
      <c r="B67" s="63" t="s">
        <v>1920</v>
      </c>
      <c r="C67">
        <f t="shared" ref="C67:C130" ca="1" si="1">INDIRECT(B67)</f>
        <v>4.3756070310727264E-2</v>
      </c>
    </row>
    <row r="68" spans="2:3">
      <c r="B68" s="63" t="s">
        <v>1921</v>
      </c>
      <c r="C68">
        <f t="shared" ca="1" si="1"/>
        <v>1.52E-2</v>
      </c>
    </row>
    <row r="69" spans="2:3">
      <c r="B69" s="63" t="s">
        <v>1922</v>
      </c>
      <c r="C69">
        <f t="shared" ca="1" si="1"/>
        <v>-157517.64035034197</v>
      </c>
    </row>
    <row r="70" spans="2:3">
      <c r="B70" s="63" t="s">
        <v>1923</v>
      </c>
      <c r="C70" t="str">
        <f t="shared" ca="1" si="1"/>
        <v>Cooperativa de Eletricidade Jacinto Machado</v>
      </c>
    </row>
    <row r="71" spans="2:3">
      <c r="B71" s="63" t="s">
        <v>1924</v>
      </c>
      <c r="C71" t="e">
        <f t="shared" ca="1" si="1"/>
        <v>#REF!</v>
      </c>
    </row>
    <row r="72" spans="2:3">
      <c r="B72" s="63" t="s">
        <v>1925</v>
      </c>
      <c r="C72" t="str">
        <f t="shared" ca="1" si="1"/>
        <v>21/2008</v>
      </c>
    </row>
    <row r="73" spans="2:3">
      <c r="B73" s="63" t="s">
        <v>1926</v>
      </c>
      <c r="C73">
        <f t="shared" ca="1" si="1"/>
        <v>0</v>
      </c>
    </row>
    <row r="74" spans="2:3">
      <c r="B74" s="63" t="s">
        <v>1927</v>
      </c>
      <c r="C74">
        <f t="shared" ca="1" si="1"/>
        <v>0.60460690153704832</v>
      </c>
    </row>
    <row r="75" spans="2:3">
      <c r="B75" s="63" t="s">
        <v>1928</v>
      </c>
      <c r="C75">
        <f t="shared" ca="1" si="1"/>
        <v>0.39539309846295168</v>
      </c>
    </row>
    <row r="76" spans="2:3">
      <c r="B76" s="63" t="s">
        <v>1929</v>
      </c>
      <c r="C76">
        <f t="shared" ca="1" si="1"/>
        <v>4.7242319516309784E-2</v>
      </c>
    </row>
    <row r="77" spans="2:3">
      <c r="B77" s="63" t="s">
        <v>1930</v>
      </c>
      <c r="C77">
        <f t="shared" ca="1" si="1"/>
        <v>0</v>
      </c>
    </row>
    <row r="78" spans="2:3">
      <c r="B78" s="63" t="s">
        <v>1931</v>
      </c>
      <c r="C78">
        <f t="shared" ca="1" si="1"/>
        <v>1964.7201562170678</v>
      </c>
    </row>
    <row r="79" spans="2:3">
      <c r="B79" s="63" t="s">
        <v>1932</v>
      </c>
      <c r="C79">
        <f t="shared" ca="1" si="1"/>
        <v>0</v>
      </c>
    </row>
    <row r="80" spans="2:3">
      <c r="B80" s="63" t="s">
        <v>1933</v>
      </c>
      <c r="C80">
        <f t="shared" ca="1" si="1"/>
        <v>361363.94925395359</v>
      </c>
    </row>
    <row r="81" spans="2:3">
      <c r="B81" s="63" t="s">
        <v>1934</v>
      </c>
      <c r="C81" t="e">
        <f t="shared" ca="1" si="1"/>
        <v>#REF!</v>
      </c>
    </row>
    <row r="82" spans="2:3">
      <c r="B82" s="64" t="s">
        <v>1935</v>
      </c>
      <c r="C82">
        <f t="shared" ca="1" si="1"/>
        <v>659.81567944888718</v>
      </c>
    </row>
    <row r="83" spans="2:3">
      <c r="B83" s="63" t="s">
        <v>1936</v>
      </c>
      <c r="C83">
        <f t="shared" ca="1" si="1"/>
        <v>22236423.24388</v>
      </c>
    </row>
    <row r="84" spans="2:3">
      <c r="B84" s="63" t="s">
        <v>1937</v>
      </c>
      <c r="C84">
        <f t="shared" ca="1" si="1"/>
        <v>0</v>
      </c>
    </row>
    <row r="85" spans="2:3">
      <c r="B85" s="63" t="s">
        <v>1938</v>
      </c>
      <c r="C85">
        <f t="shared" ca="1" si="1"/>
        <v>0</v>
      </c>
    </row>
    <row r="86" spans="2:3">
      <c r="B86" s="63" t="s">
        <v>1939</v>
      </c>
      <c r="C86" t="str">
        <f t="shared" ca="1" si="1"/>
        <v>setembro de 2021 a agosto de 2022</v>
      </c>
    </row>
    <row r="87" spans="2:3">
      <c r="B87" s="63" t="s">
        <v>1940</v>
      </c>
      <c r="C87">
        <f t="shared" ca="1" si="1"/>
        <v>0</v>
      </c>
    </row>
    <row r="88" spans="2:3">
      <c r="B88" s="63" t="s">
        <v>1941</v>
      </c>
      <c r="C88" t="str">
        <f t="shared" ca="1" si="1"/>
        <v>Cejama</v>
      </c>
    </row>
    <row r="89" spans="2:3">
      <c r="B89" s="63" t="s">
        <v>1942</v>
      </c>
      <c r="C89">
        <f t="shared" ca="1" si="1"/>
        <v>0</v>
      </c>
    </row>
    <row r="90" spans="2:3">
      <c r="B90" s="63" t="s">
        <v>1943</v>
      </c>
      <c r="C90" t="e">
        <f t="shared" ca="1" si="1"/>
        <v>#REF!</v>
      </c>
    </row>
    <row r="91" spans="2:3">
      <c r="B91" s="64" t="s">
        <v>1944</v>
      </c>
      <c r="C91">
        <f t="shared" ca="1" si="1"/>
        <v>4210458.682</v>
      </c>
    </row>
    <row r="92" spans="2:3">
      <c r="B92" s="64" t="s">
        <v>1945</v>
      </c>
      <c r="C92">
        <f t="shared" ca="1" si="1"/>
        <v>-0.19409999999999999</v>
      </c>
    </row>
    <row r="93" spans="2:3">
      <c r="B93" s="64" t="s">
        <v>1946</v>
      </c>
      <c r="C93">
        <f t="shared" ca="1" si="1"/>
        <v>0.58840000000000003</v>
      </c>
    </row>
    <row r="94" spans="2:3">
      <c r="B94" s="64" t="s">
        <v>1947</v>
      </c>
      <c r="C94">
        <f t="shared" ca="1" si="1"/>
        <v>0.30049999999999999</v>
      </c>
    </row>
    <row r="95" spans="2:3">
      <c r="B95" s="64" t="s">
        <v>1948</v>
      </c>
      <c r="C95" t="e">
        <f t="shared" ca="1" si="1"/>
        <v>#VALUE!</v>
      </c>
    </row>
    <row r="96" spans="2:3">
      <c r="B96" s="64" t="s">
        <v>1949</v>
      </c>
      <c r="C96" t="e">
        <f t="shared" ca="1" si="1"/>
        <v>#VALUE!</v>
      </c>
    </row>
    <row r="97" spans="2:3">
      <c r="B97" s="64" t="s">
        <v>1950</v>
      </c>
      <c r="C97" t="e">
        <f t="shared" ca="1" si="1"/>
        <v>#VALUE!</v>
      </c>
    </row>
    <row r="98" spans="2:3">
      <c r="B98" s="64" t="s">
        <v>1951</v>
      </c>
      <c r="C98" t="e">
        <f t="shared" ca="1" si="1"/>
        <v>#VALUE!</v>
      </c>
    </row>
    <row r="99" spans="2:3">
      <c r="B99" s="63" t="s">
        <v>1952</v>
      </c>
      <c r="C99" t="e">
        <f t="shared" ca="1" si="1"/>
        <v>#VALUE!</v>
      </c>
    </row>
    <row r="100" spans="2:3">
      <c r="B100" s="64" t="s">
        <v>1953</v>
      </c>
      <c r="C100" t="e">
        <f t="shared" ca="1" si="1"/>
        <v>#VALUE!</v>
      </c>
    </row>
    <row r="101" spans="2:3">
      <c r="B101" s="63" t="s">
        <v>1954</v>
      </c>
      <c r="C101" t="e">
        <f t="shared" ca="1" si="1"/>
        <v>#VALUE!</v>
      </c>
    </row>
    <row r="102" spans="2:3">
      <c r="B102" s="63" t="s">
        <v>1955</v>
      </c>
      <c r="C102" t="e">
        <f t="shared" ca="1" si="1"/>
        <v>#VALUE!</v>
      </c>
    </row>
    <row r="103" spans="2:3">
      <c r="B103" s="63" t="s">
        <v>1956</v>
      </c>
      <c r="C103" t="e">
        <f t="shared" ca="1" si="1"/>
        <v>#VALUE!</v>
      </c>
    </row>
    <row r="104" spans="2:3">
      <c r="B104" s="63" t="s">
        <v>1957</v>
      </c>
      <c r="C104" t="e">
        <f t="shared" ca="1" si="1"/>
        <v>#VALUE!</v>
      </c>
    </row>
    <row r="105" spans="2:3">
      <c r="B105" s="63" t="s">
        <v>1958</v>
      </c>
      <c r="C105" t="e">
        <f t="shared" ca="1" si="1"/>
        <v>#VALUE!</v>
      </c>
    </row>
    <row r="106" spans="2:3">
      <c r="B106" s="63" t="s">
        <v>1959</v>
      </c>
      <c r="C106" t="e">
        <f t="shared" ca="1" si="1"/>
        <v>#VALUE!</v>
      </c>
    </row>
    <row r="107" spans="2:3">
      <c r="B107" s="63" t="s">
        <v>1960</v>
      </c>
      <c r="C107" t="e">
        <f t="shared" ca="1" si="1"/>
        <v>#VALUE!</v>
      </c>
    </row>
    <row r="108" spans="2:3">
      <c r="B108" s="63" t="s">
        <v>1961</v>
      </c>
      <c r="C108" t="e">
        <f t="shared" ca="1" si="1"/>
        <v>#REF!</v>
      </c>
    </row>
    <row r="109" spans="2:3">
      <c r="B109" s="63" t="s">
        <v>1962</v>
      </c>
      <c r="C109" t="e">
        <f t="shared" ca="1" si="1"/>
        <v>#REF!</v>
      </c>
    </row>
    <row r="110" spans="2:3">
      <c r="B110" s="63" t="s">
        <v>1963</v>
      </c>
      <c r="C110" t="e">
        <f t="shared" ca="1" si="1"/>
        <v>#REF!</v>
      </c>
    </row>
    <row r="111" spans="2:3">
      <c r="B111" s="63" t="s">
        <v>1964</v>
      </c>
      <c r="C111" t="e">
        <f t="shared" ca="1" si="1"/>
        <v>#REF!</v>
      </c>
    </row>
    <row r="112" spans="2:3">
      <c r="B112" s="63" t="s">
        <v>1965</v>
      </c>
      <c r="C112" t="e">
        <f t="shared" ca="1" si="1"/>
        <v>#REF!</v>
      </c>
    </row>
    <row r="113" spans="2:3">
      <c r="B113" s="63" t="s">
        <v>1966</v>
      </c>
      <c r="C113" t="e">
        <f t="shared" ca="1" si="1"/>
        <v>#REF!</v>
      </c>
    </row>
    <row r="114" spans="2:3">
      <c r="B114" s="63" t="s">
        <v>1967</v>
      </c>
      <c r="C114" t="e">
        <f t="shared" ca="1" si="1"/>
        <v>#REF!</v>
      </c>
    </row>
    <row r="115" spans="2:3">
      <c r="B115" s="63" t="s">
        <v>1968</v>
      </c>
      <c r="C115">
        <f t="shared" ca="1" si="1"/>
        <v>0</v>
      </c>
    </row>
    <row r="116" spans="2:3">
      <c r="B116" s="64" t="s">
        <v>1969</v>
      </c>
      <c r="C116">
        <f t="shared" ca="1" si="1"/>
        <v>2264651.448851007</v>
      </c>
    </row>
    <row r="117" spans="2:3">
      <c r="B117" s="63" t="s">
        <v>1970</v>
      </c>
      <c r="C117">
        <f t="shared" ca="1" si="1"/>
        <v>0</v>
      </c>
    </row>
    <row r="118" spans="2:3">
      <c r="B118" s="63" t="s">
        <v>1971</v>
      </c>
      <c r="C118">
        <f t="shared" ca="1" si="1"/>
        <v>0</v>
      </c>
    </row>
    <row r="119" spans="2:3">
      <c r="B119" s="64" t="s">
        <v>1972</v>
      </c>
      <c r="C119">
        <f t="shared" ca="1" si="1"/>
        <v>0</v>
      </c>
    </row>
    <row r="120" spans="2:3">
      <c r="B120" s="63" t="s">
        <v>1973</v>
      </c>
      <c r="C120">
        <f t="shared" ca="1" si="1"/>
        <v>179626.41558225855</v>
      </c>
    </row>
    <row r="121" spans="2:3">
      <c r="B121" s="63" t="s">
        <v>1974</v>
      </c>
      <c r="C121">
        <f t="shared" ca="1" si="1"/>
        <v>0</v>
      </c>
    </row>
    <row r="122" spans="2:3">
      <c r="B122" s="64" t="s">
        <v>1975</v>
      </c>
      <c r="C122">
        <f t="shared" ca="1" si="1"/>
        <v>0</v>
      </c>
    </row>
    <row r="123" spans="2:3">
      <c r="B123" s="63" t="s">
        <v>1976</v>
      </c>
      <c r="C123">
        <f t="shared" ca="1" si="1"/>
        <v>0</v>
      </c>
    </row>
    <row r="124" spans="2:3">
      <c r="B124" s="63" t="s">
        <v>1977</v>
      </c>
      <c r="C124">
        <f t="shared" ca="1" si="1"/>
        <v>0</v>
      </c>
    </row>
    <row r="125" spans="2:3">
      <c r="B125" s="64" t="s">
        <v>1978</v>
      </c>
      <c r="C125">
        <f t="shared" ca="1" si="1"/>
        <v>0</v>
      </c>
    </row>
    <row r="126" spans="2:3">
      <c r="B126" s="63" t="s">
        <v>1979</v>
      </c>
      <c r="C126">
        <f t="shared" ca="1" si="1"/>
        <v>380606.1362967522</v>
      </c>
    </row>
    <row r="127" spans="2:3">
      <c r="B127" s="63" t="s">
        <v>1980</v>
      </c>
      <c r="C127">
        <f t="shared" ca="1" si="1"/>
        <v>0</v>
      </c>
    </row>
    <row r="128" spans="2:3">
      <c r="B128" s="64" t="s">
        <v>1981</v>
      </c>
      <c r="C128">
        <f t="shared" ca="1" si="1"/>
        <v>35809.573681888338</v>
      </c>
    </row>
    <row r="129" spans="2:3">
      <c r="B129" s="63" t="s">
        <v>1982</v>
      </c>
      <c r="C129">
        <f t="shared" ca="1" si="1"/>
        <v>41304.089999999997</v>
      </c>
    </row>
    <row r="130" spans="2:3">
      <c r="B130" s="63" t="s">
        <v>1983</v>
      </c>
      <c r="C130">
        <f t="shared" ca="1" si="1"/>
        <v>22236423.24388</v>
      </c>
    </row>
    <row r="131" spans="2:3">
      <c r="B131" s="64" t="s">
        <v>1984</v>
      </c>
      <c r="C131" t="str">
        <f t="shared" ref="C131:C194" ca="1" si="2">INDIRECT(B131)</f>
        <v>Branca</v>
      </c>
    </row>
    <row r="132" spans="2:3">
      <c r="B132" s="63" t="s">
        <v>1985</v>
      </c>
      <c r="C132" t="e">
        <f t="shared" ca="1" si="2"/>
        <v>#VALUE!</v>
      </c>
    </row>
    <row r="133" spans="2:3">
      <c r="B133" s="64" t="s">
        <v>1986</v>
      </c>
      <c r="C133" t="e">
        <f t="shared" ca="1" si="2"/>
        <v>#REF!</v>
      </c>
    </row>
    <row r="134" spans="2:3">
      <c r="B134" s="63" t="s">
        <v>1987</v>
      </c>
      <c r="C134" t="e">
        <f t="shared" ca="1" si="2"/>
        <v>#REF!</v>
      </c>
    </row>
    <row r="135" spans="2:3">
      <c r="B135" s="63" t="s">
        <v>1988</v>
      </c>
      <c r="C135">
        <f t="shared" ca="1" si="2"/>
        <v>44774</v>
      </c>
    </row>
    <row r="136" spans="2:3">
      <c r="B136" s="63" t="s">
        <v>1989</v>
      </c>
      <c r="C136">
        <f t="shared" ca="1" si="2"/>
        <v>44440</v>
      </c>
    </row>
    <row r="137" spans="2:3">
      <c r="B137" s="63" t="s">
        <v>1990</v>
      </c>
      <c r="C137" t="e">
        <f t="shared" ca="1" si="2"/>
        <v>#REF!</v>
      </c>
    </row>
    <row r="138" spans="2:3">
      <c r="B138" s="63" t="s">
        <v>1991</v>
      </c>
      <c r="C138" t="e">
        <f t="shared" ca="1" si="2"/>
        <v>#REF!</v>
      </c>
    </row>
    <row r="139" spans="2:3">
      <c r="B139" s="63" t="s">
        <v>1992</v>
      </c>
      <c r="C139" t="e">
        <f t="shared" ca="1" si="2"/>
        <v>#REF!</v>
      </c>
    </row>
    <row r="140" spans="2:3">
      <c r="B140" s="63" t="s">
        <v>1993</v>
      </c>
      <c r="C140">
        <f t="shared" ca="1" si="2"/>
        <v>0</v>
      </c>
    </row>
    <row r="141" spans="2:3">
      <c r="B141" s="63" t="s">
        <v>1994</v>
      </c>
      <c r="C141" t="e">
        <f t="shared" ca="1" si="2"/>
        <v>#VALUE!</v>
      </c>
    </row>
    <row r="142" spans="2:3">
      <c r="B142" s="63" t="s">
        <v>1995</v>
      </c>
      <c r="C142" t="e">
        <f t="shared" ca="1" si="2"/>
        <v>#VALUE!</v>
      </c>
    </row>
    <row r="143" spans="2:3">
      <c r="B143" s="63" t="s">
        <v>1996</v>
      </c>
      <c r="C143" t="e">
        <f t="shared" ca="1" si="2"/>
        <v>#VALUE!</v>
      </c>
    </row>
    <row r="144" spans="2:3">
      <c r="B144" s="63" t="s">
        <v>1997</v>
      </c>
      <c r="C144" t="e">
        <f t="shared" ca="1" si="2"/>
        <v>#VALUE!</v>
      </c>
    </row>
    <row r="145" spans="2:3">
      <c r="B145" s="63" t="s">
        <v>1998</v>
      </c>
      <c r="C145" t="e">
        <f t="shared" ca="1" si="2"/>
        <v>#VALUE!</v>
      </c>
    </row>
    <row r="146" spans="2:3">
      <c r="B146" s="64" t="s">
        <v>1999</v>
      </c>
      <c r="C146" t="e">
        <f t="shared" ca="1" si="2"/>
        <v>#REF!</v>
      </c>
    </row>
    <row r="147" spans="2:3">
      <c r="B147" s="64" t="s">
        <v>2000</v>
      </c>
      <c r="C147" t="e">
        <f t="shared" ca="1" si="2"/>
        <v>#REF!</v>
      </c>
    </row>
    <row r="148" spans="2:3">
      <c r="B148" s="64" t="s">
        <v>2001</v>
      </c>
      <c r="C148" t="e">
        <f t="shared" ca="1" si="2"/>
        <v>#REF!</v>
      </c>
    </row>
    <row r="149" spans="2:3">
      <c r="B149" s="64" t="s">
        <v>2002</v>
      </c>
      <c r="C149" t="e">
        <f t="shared" ca="1" si="2"/>
        <v>#REF!</v>
      </c>
    </row>
    <row r="150" spans="2:3">
      <c r="B150" s="64" t="s">
        <v>2003</v>
      </c>
      <c r="C150" t="e">
        <f t="shared" ca="1" si="2"/>
        <v>#REF!</v>
      </c>
    </row>
    <row r="151" spans="2:3">
      <c r="B151" s="64" t="s">
        <v>2004</v>
      </c>
      <c r="C151" t="e">
        <f t="shared" ca="1" si="2"/>
        <v>#REF!</v>
      </c>
    </row>
    <row r="152" spans="2:3">
      <c r="B152" s="64" t="s">
        <v>2005</v>
      </c>
      <c r="C152" t="e">
        <f t="shared" ca="1" si="2"/>
        <v>#REF!</v>
      </c>
    </row>
    <row r="153" spans="2:3">
      <c r="B153" s="64" t="s">
        <v>2006</v>
      </c>
      <c r="C153" t="e">
        <f t="shared" ca="1" si="2"/>
        <v>#REF!</v>
      </c>
    </row>
    <row r="154" spans="2:3">
      <c r="B154" s="63" t="s">
        <v>2007</v>
      </c>
      <c r="C154" t="e">
        <f t="shared" ca="1" si="2"/>
        <v>#VALUE!</v>
      </c>
    </row>
    <row r="155" spans="2:3">
      <c r="B155" s="63" t="s">
        <v>2008</v>
      </c>
      <c r="C155" t="e">
        <f t="shared" ca="1" si="2"/>
        <v>#VALUE!</v>
      </c>
    </row>
    <row r="156" spans="2:3">
      <c r="B156" s="63" t="s">
        <v>2009</v>
      </c>
      <c r="C156" t="e">
        <f t="shared" ca="1" si="2"/>
        <v>#VALUE!</v>
      </c>
    </row>
    <row r="157" spans="2:3">
      <c r="B157" s="63" t="s">
        <v>2010</v>
      </c>
      <c r="C157" t="e">
        <f t="shared" ca="1" si="2"/>
        <v>#VALUE!</v>
      </c>
    </row>
    <row r="158" spans="2:3">
      <c r="B158" s="63" t="s">
        <v>2011</v>
      </c>
      <c r="C158" t="e">
        <f t="shared" ca="1" si="2"/>
        <v>#REF!</v>
      </c>
    </row>
    <row r="159" spans="2:3">
      <c r="B159" s="63" t="s">
        <v>2012</v>
      </c>
      <c r="C159" t="e">
        <f t="shared" ca="1" si="2"/>
        <v>#VALUE!</v>
      </c>
    </row>
    <row r="160" spans="2:3">
      <c r="B160" s="63" t="s">
        <v>2013</v>
      </c>
      <c r="C160" t="e">
        <f t="shared" ca="1" si="2"/>
        <v>#VALUE!</v>
      </c>
    </row>
    <row r="161" spans="2:3">
      <c r="B161" s="63" t="s">
        <v>2014</v>
      </c>
      <c r="C161" t="e">
        <f t="shared" ca="1" si="2"/>
        <v>#VALUE!</v>
      </c>
    </row>
    <row r="162" spans="2:3">
      <c r="B162" s="63" t="s">
        <v>2015</v>
      </c>
      <c r="C162" t="e">
        <f t="shared" ca="1" si="2"/>
        <v>#VALUE!</v>
      </c>
    </row>
    <row r="163" spans="2:3">
      <c r="B163" s="63" t="s">
        <v>2016</v>
      </c>
      <c r="C163" t="e">
        <f t="shared" ca="1" si="2"/>
        <v>#VALUE!</v>
      </c>
    </row>
    <row r="164" spans="2:3">
      <c r="B164" s="63" t="s">
        <v>2017</v>
      </c>
      <c r="C164" t="e">
        <f t="shared" ca="1" si="2"/>
        <v>#VALUE!</v>
      </c>
    </row>
    <row r="165" spans="2:3">
      <c r="B165" s="63" t="s">
        <v>2018</v>
      </c>
      <c r="C165" t="e">
        <f t="shared" ca="1" si="2"/>
        <v>#VALUE!</v>
      </c>
    </row>
    <row r="166" spans="2:3">
      <c r="B166" s="63" t="s">
        <v>2019</v>
      </c>
      <c r="C166" t="e">
        <f t="shared" ca="1" si="2"/>
        <v>#VALUE!</v>
      </c>
    </row>
    <row r="167" spans="2:3">
      <c r="B167" s="63" t="s">
        <v>2020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